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29"/>
  <workbookPr filterPrivacy="1" updateLinks="never" codeName="EstaPasta_de_trabalho"/>
  <bookViews>
    <workbookView xWindow="0" yWindow="0" windowWidth="20490" windowHeight="7530" tabRatio="840" firstSheet="11" activeTab="16"/>
  </bookViews>
  <sheets>
    <sheet name="Dados de entrada Veíc. e Equip." sheetId="42" state="hidden" r:id="rId1"/>
    <sheet name="DIMENSIONAMENTO DA FROTA" sheetId="45" state="hidden" r:id="rId2"/>
    <sheet name="DIMENSIONAMENTO DA FROTA COMPLE" sheetId="46" state="hidden" r:id="rId3"/>
    <sheet name="CAPA" sheetId="76" r:id="rId4"/>
    <sheet name="1. RESUMO" sheetId="70" r:id="rId5"/>
    <sheet name="1.1 CRONOGRANA FINANCEIRO" sheetId="73" r:id="rId6"/>
    <sheet name="2. DADOS DE ENTRADA" sheetId="44" r:id="rId7"/>
    <sheet name="3. PREÇOS UNITÁRIOS" sheetId="40" r:id="rId8"/>
    <sheet name="4. ADM" sheetId="56" r:id="rId9"/>
    <sheet name="5. COLETA URBANA SEDE.DISTRITOS" sheetId="43" r:id="rId10"/>
    <sheet name="5.1 COLETA URBANA MECANIZADA" sheetId="71" r:id="rId11"/>
    <sheet name="6. COLETA SELETIVA" sheetId="51" r:id="rId12"/>
    <sheet name="7. TRANSBORDO" sheetId="60" r:id="rId13"/>
    <sheet name="8. TRANS. DISP. FINAL CC" sheetId="53" r:id="rId14"/>
    <sheet name="9. TRANS. DEST. FINAL CS" sheetId="69" r:id="rId15"/>
    <sheet name="10.TRANS. DEST. FINAL VOL. " sheetId="75" r:id="rId16"/>
    <sheet name="11. ORÇ. EPI" sheetId="47" r:id="rId17"/>
    <sheet name="12. ORÇ. PNEUS" sheetId="58" r:id="rId18"/>
    <sheet name="13. ORÇ. EQU. E VEÍCULOS" sheetId="35" r:id="rId19"/>
  </sheets>
  <externalReferences>
    <externalReference r:id="rId20"/>
  </externalReferences>
  <definedNames>
    <definedName name="_xlnm.Print_Area" localSheetId="4">'1. RESUMO'!$A$1:$E$21</definedName>
    <definedName name="_xlnm.Print_Area" localSheetId="15">'10.TRANS. DEST. FINAL VOL. '!$A$1:$H$250</definedName>
    <definedName name="_xlnm.Print_Area" localSheetId="18">'13. ORÇ. EQU. E VEÍCULOS'!$A$1:$K$39</definedName>
    <definedName name="_xlnm.Print_Area" localSheetId="6">'2. DADOS DE ENTRADA'!$B$1:$M$279</definedName>
    <definedName name="_xlnm.Print_Area" localSheetId="8">'4. ADM'!$A$1:$J$35</definedName>
    <definedName name="_xlnm.Print_Area" localSheetId="9">'5. COLETA URBANA SEDE.DISTRITOS'!$B$1:$H$256</definedName>
    <definedName name="_xlnm.Print_Area" localSheetId="10">'5.1 COLETA URBANA MECANIZADA'!$B$1:$H$213</definedName>
    <definedName name="_xlnm.Print_Area" localSheetId="11">'6. COLETA SELETIVA'!$A$1:$G$250</definedName>
    <definedName name="_xlnm.Print_Area" localSheetId="12">'7. TRANSBORDO'!$B$1:$H$258</definedName>
    <definedName name="_xlnm.Print_Area" localSheetId="13">'8. TRANS. DISP. FINAL CC'!$A$1:$H$250</definedName>
    <definedName name="_xlnm.Print_Area" localSheetId="14">'9. TRANS. DEST. FINAL CS'!$A$1:$H$253</definedName>
    <definedName name="_xlnm.Print_Area" localSheetId="3">CAPA!$A$1:$O$37</definedName>
    <definedName name="_xlnm.Print_Area" localSheetId="0">'Dados de entrada Veíc. e Equip.'!#REF!</definedName>
    <definedName name="CRONO.MaxParc" hidden="1">[1]Planilha1!#REF!+[1]Planilha1!A1</definedName>
    <definedName name="TIPOORCAMENTO" hidden="1">IF(VALUE([1]Planilha1!$O$3)=2,"Licitado","Proposto")</definedName>
    <definedName name="_xlnm.Print_Titles" localSheetId="0">'Dados de entrada Veíc. e Equip.'!#REF!</definedName>
  </definedNames>
  <calcPr calcId="162913"/>
</workbook>
</file>

<file path=xl/calcChain.xml><?xml version="1.0" encoding="utf-8"?>
<calcChain xmlns="http://schemas.openxmlformats.org/spreadsheetml/2006/main">
  <c r="E15" i="43" l="1"/>
  <c r="C10" i="70"/>
  <c r="D12" i="70"/>
  <c r="D10" i="70"/>
  <c r="E167" i="75" l="1"/>
  <c r="E178" i="43"/>
  <c r="E193" i="43"/>
  <c r="C94" i="44" l="1"/>
  <c r="E12" i="69"/>
  <c r="K11" i="35"/>
  <c r="K18" i="35"/>
  <c r="D22" i="40" l="1"/>
  <c r="D25" i="40"/>
  <c r="D24" i="40"/>
  <c r="D23" i="40"/>
  <c r="B15" i="58"/>
  <c r="L205" i="44"/>
  <c r="L204" i="44"/>
  <c r="L203" i="44"/>
  <c r="L202" i="44"/>
  <c r="L201" i="44"/>
  <c r="I185" i="44"/>
  <c r="H185" i="44"/>
  <c r="L200" i="44"/>
  <c r="E246" i="43"/>
  <c r="E21" i="75"/>
  <c r="C16" i="70"/>
  <c r="E12" i="75"/>
  <c r="L208" i="44" l="1"/>
  <c r="L210" i="44"/>
  <c r="L207" i="44"/>
  <c r="L206" i="44"/>
  <c r="L209" i="44"/>
  <c r="E20" i="75"/>
  <c r="E13" i="69" l="1"/>
  <c r="I14" i="56" l="1"/>
  <c r="E181" i="75" l="1"/>
  <c r="C131" i="75" l="1"/>
  <c r="E131" i="75" s="1"/>
  <c r="C130" i="69"/>
  <c r="C134" i="69"/>
  <c r="C151" i="69" s="1"/>
  <c r="E190" i="51"/>
  <c r="E189" i="51"/>
  <c r="E188" i="51"/>
  <c r="E187" i="51"/>
  <c r="E186" i="51"/>
  <c r="D168" i="44"/>
  <c r="D176" i="44" s="1"/>
  <c r="D169" i="44"/>
  <c r="D171" i="44"/>
  <c r="D172" i="44"/>
  <c r="D173" i="44"/>
  <c r="D174" i="44"/>
  <c r="D185" i="44"/>
  <c r="D186" i="44"/>
  <c r="D187" i="44"/>
  <c r="D188" i="44"/>
  <c r="D189" i="44"/>
  <c r="D190" i="44"/>
  <c r="D200" i="44"/>
  <c r="D201" i="44"/>
  <c r="D202" i="44"/>
  <c r="D203" i="44"/>
  <c r="D204" i="44"/>
  <c r="D205" i="44"/>
  <c r="K242" i="44"/>
  <c r="I242" i="44"/>
  <c r="D208" i="44" l="1"/>
  <c r="D195" i="44"/>
  <c r="D179" i="44"/>
  <c r="D177" i="44"/>
  <c r="D192" i="44"/>
  <c r="D175" i="44"/>
  <c r="D210" i="44"/>
  <c r="D209" i="44"/>
  <c r="D191" i="44"/>
  <c r="D180" i="44"/>
  <c r="D193" i="44"/>
  <c r="D178" i="44"/>
  <c r="D194" i="44"/>
  <c r="D207" i="44"/>
  <c r="D206" i="44"/>
  <c r="C135" i="69" l="1"/>
  <c r="E236" i="75"/>
  <c r="E233" i="75"/>
  <c r="F225" i="75"/>
  <c r="F209" i="75"/>
  <c r="F193" i="75"/>
  <c r="E193" i="75"/>
  <c r="E192" i="75"/>
  <c r="D192" i="75"/>
  <c r="E191" i="75"/>
  <c r="F186" i="75"/>
  <c r="E186" i="75"/>
  <c r="F185" i="75"/>
  <c r="E185" i="75"/>
  <c r="F184" i="75"/>
  <c r="E184" i="75"/>
  <c r="F183" i="75"/>
  <c r="E183" i="75"/>
  <c r="F182" i="75"/>
  <c r="E182" i="75"/>
  <c r="D181" i="75"/>
  <c r="E180" i="75"/>
  <c r="F175" i="75"/>
  <c r="F174" i="75"/>
  <c r="F168" i="75"/>
  <c r="E168" i="75"/>
  <c r="F167" i="75"/>
  <c r="F162" i="75"/>
  <c r="F161" i="75"/>
  <c r="E153" i="75"/>
  <c r="E149" i="75"/>
  <c r="E148" i="75"/>
  <c r="E147" i="75"/>
  <c r="E146" i="75"/>
  <c r="E145" i="75"/>
  <c r="E144" i="75"/>
  <c r="C136" i="75"/>
  <c r="E136" i="75" s="1"/>
  <c r="C132" i="75"/>
  <c r="E132" i="75" s="1"/>
  <c r="C130" i="75"/>
  <c r="E130" i="75" s="1"/>
  <c r="C129" i="75"/>
  <c r="E129" i="75" s="1"/>
  <c r="C128" i="75"/>
  <c r="E128" i="75" s="1"/>
  <c r="C127" i="75"/>
  <c r="F79" i="75"/>
  <c r="B75" i="75"/>
  <c r="B73" i="75"/>
  <c r="F69" i="75"/>
  <c r="E69" i="75"/>
  <c r="E68" i="75"/>
  <c r="E67" i="75"/>
  <c r="E66" i="75"/>
  <c r="E72" i="75" s="1"/>
  <c r="B66" i="75"/>
  <c r="B63" i="75"/>
  <c r="F62" i="75"/>
  <c r="B58" i="75"/>
  <c r="B56" i="75"/>
  <c r="E55" i="75"/>
  <c r="E54" i="75"/>
  <c r="F52" i="75"/>
  <c r="E52" i="75"/>
  <c r="E51" i="75"/>
  <c r="E50" i="75"/>
  <c r="E49" i="75"/>
  <c r="B49" i="75"/>
  <c r="B41" i="75"/>
  <c r="F40" i="75"/>
  <c r="F39" i="75"/>
  <c r="E37" i="75"/>
  <c r="E36" i="75"/>
  <c r="B35" i="75"/>
  <c r="B33" i="75"/>
  <c r="E32" i="75"/>
  <c r="E31" i="75"/>
  <c r="F29" i="75"/>
  <c r="E29" i="75"/>
  <c r="E28" i="75"/>
  <c r="F24" i="75"/>
  <c r="F23" i="75"/>
  <c r="E23" i="75"/>
  <c r="E24" i="75" s="1"/>
  <c r="B19" i="75"/>
  <c r="B17" i="75"/>
  <c r="E16" i="75"/>
  <c r="E15" i="75"/>
  <c r="F13" i="75"/>
  <c r="E13" i="75"/>
  <c r="K26" i="35"/>
  <c r="K25" i="35"/>
  <c r="D25" i="35" s="1"/>
  <c r="E241" i="75" l="1"/>
  <c r="E61" i="75"/>
  <c r="E62" i="75" s="1"/>
  <c r="G62" i="75" s="1"/>
  <c r="E59" i="75"/>
  <c r="C145" i="75"/>
  <c r="G29" i="75"/>
  <c r="G168" i="75"/>
  <c r="G183" i="75"/>
  <c r="G13" i="75"/>
  <c r="G69" i="75"/>
  <c r="C144" i="75"/>
  <c r="G52" i="75"/>
  <c r="G184" i="75"/>
  <c r="G193" i="75"/>
  <c r="G194" i="75" s="1"/>
  <c r="G195" i="75" s="1"/>
  <c r="G167" i="75"/>
  <c r="G182" i="75"/>
  <c r="G186" i="75"/>
  <c r="C146" i="75"/>
  <c r="C147" i="75"/>
  <c r="G185" i="75"/>
  <c r="E78" i="75"/>
  <c r="E79" i="75" s="1"/>
  <c r="G79" i="75" s="1"/>
  <c r="F67" i="75"/>
  <c r="B67" i="75" s="1"/>
  <c r="E76" i="75"/>
  <c r="E71" i="75"/>
  <c r="C148" i="75"/>
  <c r="E160" i="75"/>
  <c r="G23" i="75"/>
  <c r="G24" i="75"/>
  <c r="E39" i="75"/>
  <c r="E40" i="75" s="1"/>
  <c r="G40" i="75" s="1"/>
  <c r="F50" i="75"/>
  <c r="G50" i="75" s="1"/>
  <c r="C149" i="75"/>
  <c r="F257" i="60"/>
  <c r="E36" i="60"/>
  <c r="G169" i="75" l="1"/>
  <c r="F198" i="75" s="1"/>
  <c r="G198" i="75" s="1"/>
  <c r="G199" i="75" s="1"/>
  <c r="G200" i="75" s="1"/>
  <c r="G187" i="75"/>
  <c r="G188" i="75" s="1"/>
  <c r="G67" i="75"/>
  <c r="E162" i="75"/>
  <c r="G162" i="75" s="1"/>
  <c r="B50" i="75"/>
  <c r="F51" i="75"/>
  <c r="G51" i="75" s="1"/>
  <c r="G53" i="75" s="1"/>
  <c r="G39" i="75"/>
  <c r="E186" i="53"/>
  <c r="E185" i="53"/>
  <c r="E184" i="53"/>
  <c r="E183" i="53"/>
  <c r="E182" i="53"/>
  <c r="I243" i="44"/>
  <c r="E185" i="69"/>
  <c r="E171" i="69"/>
  <c r="F171" i="69"/>
  <c r="G171" i="69" l="1"/>
  <c r="B52" i="75"/>
  <c r="F68" i="75"/>
  <c r="F55" i="75"/>
  <c r="G55" i="75" s="1"/>
  <c r="F54" i="75"/>
  <c r="B51" i="75"/>
  <c r="K12" i="35"/>
  <c r="B69" i="75" l="1"/>
  <c r="G68" i="75"/>
  <c r="G70" i="75" s="1"/>
  <c r="B68" i="75"/>
  <c r="G54" i="75"/>
  <c r="G56" i="75" s="1"/>
  <c r="F57" i="75" s="1"/>
  <c r="B55" i="75"/>
  <c r="B54" i="75"/>
  <c r="B22" i="58"/>
  <c r="F72" i="75" l="1"/>
  <c r="G72" i="75" s="1"/>
  <c r="F71" i="75"/>
  <c r="B57" i="75"/>
  <c r="F13" i="69"/>
  <c r="K200" i="44"/>
  <c r="K243" i="44"/>
  <c r="E175" i="75"/>
  <c r="G175" i="75" s="1"/>
  <c r="E168" i="44"/>
  <c r="H169" i="44"/>
  <c r="H171" i="44"/>
  <c r="I171" i="44" s="1"/>
  <c r="H172" i="44"/>
  <c r="I172" i="44" s="1"/>
  <c r="H173" i="44"/>
  <c r="H179" i="44" s="1"/>
  <c r="H174" i="44"/>
  <c r="I174" i="44" s="1"/>
  <c r="H186" i="44"/>
  <c r="H187" i="44"/>
  <c r="H188" i="44"/>
  <c r="H189" i="44"/>
  <c r="H190" i="44"/>
  <c r="H200" i="44"/>
  <c r="H201" i="44"/>
  <c r="H202" i="44"/>
  <c r="H203" i="44"/>
  <c r="H204" i="44"/>
  <c r="H205" i="44"/>
  <c r="I168" i="44"/>
  <c r="I176" i="44" s="1"/>
  <c r="I173" i="44"/>
  <c r="I186" i="44"/>
  <c r="I187" i="44"/>
  <c r="I192" i="44" s="1"/>
  <c r="I188" i="44"/>
  <c r="I189" i="44"/>
  <c r="I190" i="44"/>
  <c r="I200" i="44"/>
  <c r="I201" i="44"/>
  <c r="I202" i="44"/>
  <c r="I203" i="44"/>
  <c r="I204" i="44"/>
  <c r="I205" i="44"/>
  <c r="E38" i="35"/>
  <c r="C169" i="44"/>
  <c r="C171" i="44"/>
  <c r="F12" i="75" l="1"/>
  <c r="F28" i="75"/>
  <c r="E177" i="69"/>
  <c r="E174" i="75"/>
  <c r="G174" i="75" s="1"/>
  <c r="B71" i="75"/>
  <c r="G71" i="75"/>
  <c r="G73" i="75" s="1"/>
  <c r="F74" i="75" s="1"/>
  <c r="B72" i="75"/>
  <c r="H192" i="44"/>
  <c r="H206" i="44"/>
  <c r="H193" i="44"/>
  <c r="H178" i="44"/>
  <c r="H210" i="44"/>
  <c r="H208" i="44"/>
  <c r="H180" i="44"/>
  <c r="H209" i="44"/>
  <c r="H177" i="44"/>
  <c r="H195" i="44"/>
  <c r="I209" i="44"/>
  <c r="H194" i="44"/>
  <c r="H207" i="44"/>
  <c r="H191" i="44"/>
  <c r="I208" i="44"/>
  <c r="I191" i="44"/>
  <c r="H175" i="44"/>
  <c r="I169" i="44"/>
  <c r="I175" i="44" s="1"/>
  <c r="I179" i="44"/>
  <c r="H176" i="44"/>
  <c r="I194" i="44"/>
  <c r="I193" i="44"/>
  <c r="I180" i="44"/>
  <c r="I178" i="44"/>
  <c r="I177" i="44"/>
  <c r="I210" i="44"/>
  <c r="I206" i="44"/>
  <c r="I207" i="44"/>
  <c r="I195" i="44"/>
  <c r="F21" i="73"/>
  <c r="G21" i="73" s="1"/>
  <c r="H21" i="73" s="1"/>
  <c r="I21" i="73" s="1"/>
  <c r="J21" i="73" s="1"/>
  <c r="K21" i="73" s="1"/>
  <c r="L21" i="73" s="1"/>
  <c r="M21" i="73" s="1"/>
  <c r="N21" i="73" s="1"/>
  <c r="O21" i="73" s="1"/>
  <c r="P21" i="73" s="1"/>
  <c r="F8" i="73"/>
  <c r="G8" i="73" s="1"/>
  <c r="H8" i="73" s="1"/>
  <c r="I8" i="73" s="1"/>
  <c r="J8" i="73" s="1"/>
  <c r="K8" i="73" s="1"/>
  <c r="L8" i="73" s="1"/>
  <c r="M8" i="73" s="1"/>
  <c r="N8" i="73" s="1"/>
  <c r="O8" i="73" s="1"/>
  <c r="P8" i="73" s="1"/>
  <c r="A31" i="73"/>
  <c r="B29" i="75" l="1"/>
  <c r="G28" i="75"/>
  <c r="G30" i="75" s="1"/>
  <c r="B28" i="75"/>
  <c r="G12" i="75"/>
  <c r="G14" i="75" s="1"/>
  <c r="B13" i="75"/>
  <c r="B12" i="75"/>
  <c r="B74" i="75"/>
  <c r="F15" i="75" l="1"/>
  <c r="F16" i="75"/>
  <c r="G16" i="75" s="1"/>
  <c r="F31" i="75"/>
  <c r="F32" i="75"/>
  <c r="G32" i="75" s="1"/>
  <c r="G19" i="47"/>
  <c r="D19" i="40" s="1"/>
  <c r="G18" i="47"/>
  <c r="D16" i="40" s="1"/>
  <c r="F115" i="75" s="1"/>
  <c r="G115" i="75" s="1"/>
  <c r="G17" i="47"/>
  <c r="G15" i="47"/>
  <c r="D14" i="40" s="1"/>
  <c r="F103" i="75" s="1"/>
  <c r="G103" i="75" s="1"/>
  <c r="G14" i="47"/>
  <c r="D18" i="40" s="1"/>
  <c r="G13" i="47"/>
  <c r="D17" i="40" s="1"/>
  <c r="G12" i="47"/>
  <c r="D13" i="40" s="1"/>
  <c r="G11" i="47"/>
  <c r="D12" i="40" s="1"/>
  <c r="G10" i="47"/>
  <c r="D11" i="40" s="1"/>
  <c r="G9" i="47"/>
  <c r="D10" i="40" s="1"/>
  <c r="F112" i="75" l="1"/>
  <c r="G112" i="75" s="1"/>
  <c r="F91" i="75"/>
  <c r="F101" i="75"/>
  <c r="G101" i="75" s="1"/>
  <c r="F113" i="75"/>
  <c r="G113" i="75" s="1"/>
  <c r="F92" i="75"/>
  <c r="F102" i="75"/>
  <c r="G102" i="75" s="1"/>
  <c r="F111" i="75"/>
  <c r="G111" i="75" s="1"/>
  <c r="F90" i="75"/>
  <c r="F100" i="75"/>
  <c r="G100" i="75" s="1"/>
  <c r="G15" i="75"/>
  <c r="G17" i="75" s="1"/>
  <c r="F18" i="75" s="1"/>
  <c r="B18" i="75" s="1"/>
  <c r="B15" i="75"/>
  <c r="B16" i="75"/>
  <c r="F105" i="75"/>
  <c r="G105" i="75" s="1"/>
  <c r="F94" i="75"/>
  <c r="F116" i="75"/>
  <c r="G116" i="75" s="1"/>
  <c r="F106" i="75"/>
  <c r="G106" i="75" s="1"/>
  <c r="F95" i="75"/>
  <c r="F117" i="75"/>
  <c r="G117" i="75" s="1"/>
  <c r="F110" i="75"/>
  <c r="G110" i="75" s="1"/>
  <c r="F99" i="75"/>
  <c r="G99" i="75" s="1"/>
  <c r="F89" i="75"/>
  <c r="G31" i="75"/>
  <c r="G33" i="75" s="1"/>
  <c r="F34" i="75" s="1"/>
  <c r="B34" i="75" s="1"/>
  <c r="B31" i="75"/>
  <c r="B32" i="75"/>
  <c r="I11" i="56"/>
  <c r="I19" i="56" s="1"/>
  <c r="E137" i="71" l="1"/>
  <c r="E136" i="71"/>
  <c r="C12" i="70" l="1"/>
  <c r="E162" i="71"/>
  <c r="E151" i="71"/>
  <c r="E38" i="71"/>
  <c r="E37" i="71"/>
  <c r="E22" i="71"/>
  <c r="E21" i="71"/>
  <c r="F246" i="44"/>
  <c r="E145" i="71" s="1"/>
  <c r="E203" i="71"/>
  <c r="E200" i="71"/>
  <c r="F179" i="71"/>
  <c r="G179" i="71" s="1"/>
  <c r="F177" i="71"/>
  <c r="G177" i="71" s="1"/>
  <c r="F163" i="71"/>
  <c r="E163" i="71"/>
  <c r="D162" i="71"/>
  <c r="E161" i="71"/>
  <c r="F156" i="71"/>
  <c r="E156" i="71"/>
  <c r="F155" i="71"/>
  <c r="E155" i="71"/>
  <c r="F154" i="71"/>
  <c r="E154" i="71"/>
  <c r="F153" i="71"/>
  <c r="E153" i="71"/>
  <c r="F152" i="71"/>
  <c r="E152" i="71"/>
  <c r="D151" i="71"/>
  <c r="E150" i="71"/>
  <c r="F144" i="71"/>
  <c r="G144" i="71" s="1"/>
  <c r="F143" i="71"/>
  <c r="G143" i="71" s="1"/>
  <c r="F137" i="71"/>
  <c r="G137" i="71" s="1"/>
  <c r="F136" i="71"/>
  <c r="G136" i="71" s="1"/>
  <c r="F131" i="71"/>
  <c r="F130" i="71"/>
  <c r="E120" i="71"/>
  <c r="E116" i="71"/>
  <c r="E115" i="71"/>
  <c r="E114" i="71"/>
  <c r="E113" i="71"/>
  <c r="E112" i="71"/>
  <c r="E111" i="71"/>
  <c r="E110" i="71"/>
  <c r="E109" i="71"/>
  <c r="E108" i="71"/>
  <c r="C100" i="71"/>
  <c r="C96" i="71"/>
  <c r="C95" i="71"/>
  <c r="C94" i="71"/>
  <c r="C93" i="71"/>
  <c r="E93" i="71" s="1"/>
  <c r="C92" i="71"/>
  <c r="C91" i="71"/>
  <c r="E91" i="71" s="1"/>
  <c r="C90" i="71"/>
  <c r="E90" i="71" s="1"/>
  <c r="C89" i="71"/>
  <c r="E89" i="71" s="1"/>
  <c r="C88" i="71"/>
  <c r="F78" i="71"/>
  <c r="G78" i="71" s="1"/>
  <c r="F77" i="71"/>
  <c r="F76" i="71"/>
  <c r="G76" i="71" s="1"/>
  <c r="F74" i="71"/>
  <c r="G74" i="71" s="1"/>
  <c r="F73" i="71"/>
  <c r="G73" i="71" s="1"/>
  <c r="F72" i="71"/>
  <c r="F71" i="71"/>
  <c r="G71" i="71" s="1"/>
  <c r="F67" i="71"/>
  <c r="F66" i="71"/>
  <c r="F64" i="71"/>
  <c r="F63" i="71"/>
  <c r="F62" i="71"/>
  <c r="G62" i="71" s="1"/>
  <c r="F61" i="71"/>
  <c r="F60" i="71"/>
  <c r="F56" i="71"/>
  <c r="F55" i="71"/>
  <c r="F53" i="71"/>
  <c r="F52" i="71"/>
  <c r="F51" i="71"/>
  <c r="G51" i="71" s="1"/>
  <c r="F50" i="71"/>
  <c r="B42" i="71"/>
  <c r="F41" i="71"/>
  <c r="F40" i="71"/>
  <c r="B36" i="71"/>
  <c r="B34" i="71"/>
  <c r="E33" i="71"/>
  <c r="E32" i="71"/>
  <c r="F30" i="71"/>
  <c r="E30" i="71"/>
  <c r="E29" i="71"/>
  <c r="F25" i="71"/>
  <c r="F24" i="71"/>
  <c r="B20" i="71"/>
  <c r="B18" i="71"/>
  <c r="E17" i="71"/>
  <c r="E16" i="71"/>
  <c r="B15" i="71"/>
  <c r="F14" i="71"/>
  <c r="E14" i="71"/>
  <c r="E13" i="71"/>
  <c r="F13" i="71" s="1"/>
  <c r="K24" i="35"/>
  <c r="K19" i="35"/>
  <c r="D19" i="35" s="1"/>
  <c r="K10" i="35"/>
  <c r="G14" i="71" l="1"/>
  <c r="G30" i="71"/>
  <c r="G153" i="71"/>
  <c r="G156" i="71"/>
  <c r="E208" i="71"/>
  <c r="G154" i="71"/>
  <c r="G155" i="71"/>
  <c r="G152" i="71"/>
  <c r="G163" i="71"/>
  <c r="G164" i="71" s="1"/>
  <c r="G165" i="71" s="1"/>
  <c r="E94" i="71"/>
  <c r="E95" i="71"/>
  <c r="E88" i="71"/>
  <c r="E100" i="71"/>
  <c r="E129" i="71" s="1"/>
  <c r="E92" i="71"/>
  <c r="G138" i="71"/>
  <c r="F168" i="71" s="1"/>
  <c r="G168" i="71" s="1"/>
  <c r="G169" i="71" s="1"/>
  <c r="G170" i="71" s="1"/>
  <c r="E40" i="71"/>
  <c r="G40" i="71" s="1"/>
  <c r="E24" i="71"/>
  <c r="G52" i="71"/>
  <c r="G63" i="71"/>
  <c r="G72" i="71"/>
  <c r="E41" i="71"/>
  <c r="G41" i="71" s="1"/>
  <c r="G53" i="71"/>
  <c r="G64" i="71"/>
  <c r="G55" i="71"/>
  <c r="G66" i="71"/>
  <c r="G56" i="71"/>
  <c r="G67" i="71"/>
  <c r="G60" i="71"/>
  <c r="G77" i="71"/>
  <c r="G50" i="71"/>
  <c r="G61" i="71"/>
  <c r="G157" i="71" l="1"/>
  <c r="G158" i="71" s="1"/>
  <c r="E131" i="71"/>
  <c r="G131" i="71" s="1"/>
  <c r="E128" i="71"/>
  <c r="E130" i="71" s="1"/>
  <c r="G130" i="71" s="1"/>
  <c r="E25" i="71"/>
  <c r="G25" i="71" s="1"/>
  <c r="G24" i="71"/>
  <c r="F29" i="71" l="1"/>
  <c r="B14" i="71" l="1"/>
  <c r="G13" i="71"/>
  <c r="G15" i="71" s="1"/>
  <c r="B13" i="71"/>
  <c r="G29" i="71"/>
  <c r="G31" i="71" s="1"/>
  <c r="B29" i="71"/>
  <c r="B30" i="71"/>
  <c r="C15" i="70"/>
  <c r="C14" i="70"/>
  <c r="C11" i="70"/>
  <c r="K13" i="35"/>
  <c r="D13" i="35" s="1"/>
  <c r="E39" i="35"/>
  <c r="G242" i="44"/>
  <c r="E242" i="44"/>
  <c r="F17" i="71" l="1"/>
  <c r="G17" i="71" s="1"/>
  <c r="F32" i="71"/>
  <c r="F33" i="71"/>
  <c r="G33" i="71" s="1"/>
  <c r="F16" i="71"/>
  <c r="D26" i="35"/>
  <c r="C203" i="44"/>
  <c r="E36" i="51"/>
  <c r="B16" i="43"/>
  <c r="E156" i="43"/>
  <c r="E225" i="44"/>
  <c r="C136" i="43"/>
  <c r="E136" i="43" s="1"/>
  <c r="E220" i="43"/>
  <c r="F172" i="43"/>
  <c r="C138" i="43"/>
  <c r="E138" i="43" s="1"/>
  <c r="E153" i="43"/>
  <c r="C133" i="43"/>
  <c r="E133" i="43" s="1"/>
  <c r="G16" i="71" l="1"/>
  <c r="B17" i="71"/>
  <c r="B16" i="71"/>
  <c r="B32" i="71"/>
  <c r="G32" i="71"/>
  <c r="G34" i="71" s="1"/>
  <c r="F35" i="71" s="1"/>
  <c r="B35" i="71" s="1"/>
  <c r="B33" i="71"/>
  <c r="G245" i="53"/>
  <c r="G246" i="53" s="1"/>
  <c r="E211" i="69"/>
  <c r="E170" i="69"/>
  <c r="E173" i="44"/>
  <c r="F173" i="44"/>
  <c r="G173" i="44"/>
  <c r="C173" i="44"/>
  <c r="E37" i="69"/>
  <c r="E36" i="69"/>
  <c r="E21" i="69"/>
  <c r="E20" i="69"/>
  <c r="E178" i="69"/>
  <c r="E239" i="69"/>
  <c r="E236" i="69"/>
  <c r="F212" i="69"/>
  <c r="F196" i="69"/>
  <c r="E196" i="69"/>
  <c r="E195" i="69"/>
  <c r="D195" i="69"/>
  <c r="E194" i="69"/>
  <c r="F189" i="69"/>
  <c r="E189" i="69"/>
  <c r="F188" i="69"/>
  <c r="E188" i="69"/>
  <c r="F187" i="69"/>
  <c r="E187" i="69"/>
  <c r="F186" i="69"/>
  <c r="F185" i="69"/>
  <c r="D184" i="69"/>
  <c r="E183" i="69"/>
  <c r="F178" i="69"/>
  <c r="F177" i="69"/>
  <c r="F170" i="69"/>
  <c r="F165" i="69"/>
  <c r="F164" i="69"/>
  <c r="E156" i="69"/>
  <c r="E152" i="69"/>
  <c r="E151" i="69"/>
  <c r="E150" i="69"/>
  <c r="E149" i="69"/>
  <c r="E148" i="69"/>
  <c r="E147" i="69"/>
  <c r="C139" i="69"/>
  <c r="E139" i="69" s="1"/>
  <c r="C133" i="69"/>
  <c r="C132" i="69"/>
  <c r="C131" i="69"/>
  <c r="F119" i="69"/>
  <c r="G119" i="69" s="1"/>
  <c r="F118" i="69"/>
  <c r="F117" i="69"/>
  <c r="F115" i="69"/>
  <c r="F114" i="69"/>
  <c r="F113" i="69"/>
  <c r="F112" i="69"/>
  <c r="F108" i="69"/>
  <c r="F107" i="69"/>
  <c r="F105" i="69"/>
  <c r="F104" i="69"/>
  <c r="G104" i="69" s="1"/>
  <c r="F103" i="69"/>
  <c r="F102" i="69"/>
  <c r="F101" i="69"/>
  <c r="F97" i="69"/>
  <c r="F96" i="69"/>
  <c r="F94" i="69"/>
  <c r="F93" i="69"/>
  <c r="F92" i="69"/>
  <c r="F91" i="69"/>
  <c r="F80" i="69"/>
  <c r="B76" i="69"/>
  <c r="B74" i="69"/>
  <c r="F70" i="69"/>
  <c r="E70" i="69"/>
  <c r="E69" i="69"/>
  <c r="E68" i="69"/>
  <c r="E67" i="69"/>
  <c r="E73" i="69" s="1"/>
  <c r="B67" i="69"/>
  <c r="B64" i="69"/>
  <c r="F63" i="69"/>
  <c r="B59" i="69"/>
  <c r="B57" i="69"/>
  <c r="E56" i="69"/>
  <c r="E55" i="69"/>
  <c r="F53" i="69"/>
  <c r="E53" i="69"/>
  <c r="E52" i="69"/>
  <c r="E51" i="69"/>
  <c r="E50" i="69"/>
  <c r="E62" i="69" s="1"/>
  <c r="E63" i="69" s="1"/>
  <c r="B50" i="69"/>
  <c r="B41" i="69"/>
  <c r="F40" i="69"/>
  <c r="F39" i="69"/>
  <c r="B35" i="69"/>
  <c r="B33" i="69"/>
  <c r="E32" i="69"/>
  <c r="E31" i="69"/>
  <c r="F29" i="69"/>
  <c r="E29" i="69"/>
  <c r="E28" i="69"/>
  <c r="F24" i="69"/>
  <c r="F23" i="69"/>
  <c r="B19" i="69"/>
  <c r="B17" i="69"/>
  <c r="E16" i="69"/>
  <c r="E15" i="69"/>
  <c r="G243" i="44"/>
  <c r="G18" i="71" l="1"/>
  <c r="F19" i="71" s="1"/>
  <c r="B19" i="71" s="1"/>
  <c r="E130" i="69"/>
  <c r="C147" i="69"/>
  <c r="C13" i="70"/>
  <c r="E39" i="69"/>
  <c r="E40" i="69" s="1"/>
  <c r="G40" i="69" s="1"/>
  <c r="E132" i="69"/>
  <c r="C150" i="69"/>
  <c r="C148" i="69"/>
  <c r="E134" i="69"/>
  <c r="E135" i="69"/>
  <c r="E244" i="69"/>
  <c r="G196" i="69"/>
  <c r="G197" i="69" s="1"/>
  <c r="G198" i="69" s="1"/>
  <c r="E184" i="69"/>
  <c r="G177" i="69"/>
  <c r="E131" i="69"/>
  <c r="E133" i="69"/>
  <c r="G63" i="69"/>
  <c r="G185" i="69"/>
  <c r="G189" i="69"/>
  <c r="G53" i="69"/>
  <c r="G187" i="69"/>
  <c r="G13" i="69"/>
  <c r="G70" i="69"/>
  <c r="G170" i="69"/>
  <c r="G172" i="69" s="1"/>
  <c r="E212" i="69"/>
  <c r="G212" i="69" s="1"/>
  <c r="E163" i="69"/>
  <c r="E165" i="69" s="1"/>
  <c r="G165" i="69" s="1"/>
  <c r="E60" i="69"/>
  <c r="G113" i="69"/>
  <c r="G115" i="69"/>
  <c r="G188" i="69"/>
  <c r="G29" i="69"/>
  <c r="G101" i="69"/>
  <c r="E23" i="69"/>
  <c r="E24" i="69" s="1"/>
  <c r="G24" i="69" s="1"/>
  <c r="G105" i="69"/>
  <c r="G178" i="69"/>
  <c r="G108" i="69"/>
  <c r="G112" i="69"/>
  <c r="C149" i="69"/>
  <c r="E72" i="69"/>
  <c r="E77" i="69"/>
  <c r="E79" i="69"/>
  <c r="G107" i="69"/>
  <c r="G114" i="69"/>
  <c r="G102" i="69"/>
  <c r="C152" i="69"/>
  <c r="G103" i="69"/>
  <c r="G117" i="69"/>
  <c r="G118" i="69"/>
  <c r="F201" i="69" l="1"/>
  <c r="G201" i="69" s="1"/>
  <c r="G202" i="69" s="1"/>
  <c r="G203" i="69" s="1"/>
  <c r="G23" i="69"/>
  <c r="G39" i="69"/>
  <c r="E162" i="69"/>
  <c r="E80" i="69"/>
  <c r="G80" i="69" s="1"/>
  <c r="E164" i="69" l="1"/>
  <c r="G164" i="69" s="1"/>
  <c r="F209" i="53" l="1"/>
  <c r="E208" i="53"/>
  <c r="E209" i="53" s="1"/>
  <c r="G209" i="53" l="1"/>
  <c r="D47" i="40"/>
  <c r="F131" i="75" l="1"/>
  <c r="F132" i="75"/>
  <c r="F134" i="69"/>
  <c r="F135" i="69"/>
  <c r="M200" i="44"/>
  <c r="G132" i="75" l="1"/>
  <c r="F149" i="75"/>
  <c r="G149" i="75" s="1"/>
  <c r="F148" i="75"/>
  <c r="G148" i="75" s="1"/>
  <c r="G131" i="75"/>
  <c r="G135" i="69"/>
  <c r="F152" i="69"/>
  <c r="G152" i="69" s="1"/>
  <c r="F151" i="69"/>
  <c r="G151" i="69" s="1"/>
  <c r="G134" i="69"/>
  <c r="D70" i="40" l="1"/>
  <c r="F208" i="75" s="1"/>
  <c r="F213" i="51"/>
  <c r="F211" i="51"/>
  <c r="E212" i="51"/>
  <c r="E213" i="51" s="1"/>
  <c r="F211" i="69" l="1"/>
  <c r="G211" i="69" s="1"/>
  <c r="G213" i="69" s="1"/>
  <c r="G214" i="69" s="1"/>
  <c r="H221" i="69" s="1"/>
  <c r="F178" i="71"/>
  <c r="G178" i="71" s="1"/>
  <c r="G180" i="71" s="1"/>
  <c r="F208" i="53"/>
  <c r="G208" i="53" s="1"/>
  <c r="G210" i="53" s="1"/>
  <c r="G211" i="53" s="1"/>
  <c r="H218" i="53" s="1"/>
  <c r="F220" i="43"/>
  <c r="F212" i="51"/>
  <c r="G212" i="51" s="1"/>
  <c r="G213" i="51"/>
  <c r="G186" i="71" l="1"/>
  <c r="G181" i="71"/>
  <c r="F221" i="43"/>
  <c r="F219" i="43"/>
  <c r="E219" i="43" l="1"/>
  <c r="G219" i="43" s="1"/>
  <c r="E211" i="51"/>
  <c r="G211" i="51" s="1"/>
  <c r="G220" i="43"/>
  <c r="E221" i="43"/>
  <c r="G221" i="43" s="1"/>
  <c r="G214" i="51" l="1"/>
  <c r="G215" i="51" s="1"/>
  <c r="G222" i="51" s="1"/>
  <c r="G222" i="43"/>
  <c r="G223" i="43" s="1"/>
  <c r="H229" i="43" l="1"/>
  <c r="D10" i="35" l="1"/>
  <c r="D35" i="40" s="1"/>
  <c r="E152" i="43"/>
  <c r="F68" i="69"/>
  <c r="E17" i="35"/>
  <c r="G227" i="44"/>
  <c r="G225" i="44"/>
  <c r="G224" i="44"/>
  <c r="G223" i="44"/>
  <c r="E158" i="43"/>
  <c r="F179" i="51"/>
  <c r="F178" i="51"/>
  <c r="F175" i="53"/>
  <c r="F174" i="53"/>
  <c r="F196" i="60"/>
  <c r="F195" i="60"/>
  <c r="E243" i="44"/>
  <c r="E196" i="60"/>
  <c r="E175" i="53"/>
  <c r="F185" i="43"/>
  <c r="F186" i="43"/>
  <c r="E197" i="60"/>
  <c r="E174" i="53"/>
  <c r="E195" i="60"/>
  <c r="D65" i="40"/>
  <c r="F145" i="71" s="1"/>
  <c r="E150" i="51"/>
  <c r="C134" i="51"/>
  <c r="E148" i="51"/>
  <c r="C132" i="51"/>
  <c r="E132" i="51" s="1"/>
  <c r="E214" i="60"/>
  <c r="E203" i="60"/>
  <c r="E189" i="60"/>
  <c r="E188" i="60"/>
  <c r="E187" i="60"/>
  <c r="E186" i="60"/>
  <c r="E185" i="60"/>
  <c r="E66" i="60"/>
  <c r="E78" i="60" s="1"/>
  <c r="E79" i="60" s="1"/>
  <c r="E49" i="60"/>
  <c r="E61" i="60" s="1"/>
  <c r="E62" i="60" s="1"/>
  <c r="E37" i="60"/>
  <c r="E21" i="60"/>
  <c r="E20" i="60"/>
  <c r="E248" i="60"/>
  <c r="E245" i="60"/>
  <c r="F215" i="60"/>
  <c r="E215" i="60"/>
  <c r="D214" i="60"/>
  <c r="E213" i="60"/>
  <c r="F208" i="60"/>
  <c r="E208" i="60"/>
  <c r="F207" i="60"/>
  <c r="E207" i="60"/>
  <c r="F206" i="60"/>
  <c r="E206" i="60"/>
  <c r="F205" i="60"/>
  <c r="F204" i="60"/>
  <c r="E204" i="60"/>
  <c r="D203" i="60"/>
  <c r="E202" i="60"/>
  <c r="F189" i="60"/>
  <c r="F188" i="60"/>
  <c r="F187" i="60"/>
  <c r="F186" i="60"/>
  <c r="F185" i="60"/>
  <c r="F180" i="60"/>
  <c r="F179" i="60"/>
  <c r="E170" i="60"/>
  <c r="E169" i="60"/>
  <c r="E165" i="60"/>
  <c r="E164" i="60"/>
  <c r="E163" i="60"/>
  <c r="E162" i="60"/>
  <c r="E161" i="60"/>
  <c r="E160" i="60"/>
  <c r="E159" i="60"/>
  <c r="E158" i="60"/>
  <c r="E157" i="60"/>
  <c r="E156" i="60"/>
  <c r="E155" i="60"/>
  <c r="E154" i="60"/>
  <c r="C145" i="60"/>
  <c r="E145" i="60" s="1"/>
  <c r="F141" i="60"/>
  <c r="C141" i="60"/>
  <c r="F140" i="60"/>
  <c r="C140" i="60"/>
  <c r="C139" i="60"/>
  <c r="C138" i="60"/>
  <c r="C137" i="60"/>
  <c r="C136" i="60"/>
  <c r="C135" i="60"/>
  <c r="C134" i="60"/>
  <c r="C133" i="60"/>
  <c r="C132" i="60"/>
  <c r="C131" i="60"/>
  <c r="C130" i="60"/>
  <c r="C129" i="60"/>
  <c r="C128" i="60"/>
  <c r="C127" i="60"/>
  <c r="E127" i="60" s="1"/>
  <c r="F117" i="60"/>
  <c r="F116" i="60"/>
  <c r="F115" i="60"/>
  <c r="F113" i="60"/>
  <c r="F112" i="60"/>
  <c r="F111" i="60"/>
  <c r="F110" i="60"/>
  <c r="F106" i="60"/>
  <c r="F105" i="60"/>
  <c r="F103" i="60"/>
  <c r="F102" i="60"/>
  <c r="F101" i="60"/>
  <c r="F100" i="60"/>
  <c r="F99" i="60"/>
  <c r="F95" i="60"/>
  <c r="F94" i="60"/>
  <c r="F92" i="60"/>
  <c r="F91" i="60"/>
  <c r="F90" i="60"/>
  <c r="F89" i="60"/>
  <c r="F79" i="60"/>
  <c r="B75" i="60"/>
  <c r="B73" i="60"/>
  <c r="F69" i="60"/>
  <c r="E69" i="60"/>
  <c r="E68" i="60"/>
  <c r="E67" i="60"/>
  <c r="B66" i="60"/>
  <c r="B63" i="60"/>
  <c r="F62" i="60"/>
  <c r="B58" i="60"/>
  <c r="B56" i="60"/>
  <c r="E55" i="60"/>
  <c r="E54" i="60"/>
  <c r="F52" i="60"/>
  <c r="E52" i="60"/>
  <c r="E51" i="60"/>
  <c r="E50" i="60"/>
  <c r="B49" i="60"/>
  <c r="B41" i="60"/>
  <c r="F40" i="60"/>
  <c r="F39" i="60"/>
  <c r="B35" i="60"/>
  <c r="B33" i="60"/>
  <c r="E32" i="60"/>
  <c r="E31" i="60"/>
  <c r="F29" i="60"/>
  <c r="E29" i="60"/>
  <c r="E28" i="60"/>
  <c r="F24" i="60"/>
  <c r="F23" i="60"/>
  <c r="B19" i="60"/>
  <c r="B17" i="60"/>
  <c r="E16" i="60"/>
  <c r="E15" i="60"/>
  <c r="F13" i="60"/>
  <c r="E13" i="60"/>
  <c r="E12" i="60"/>
  <c r="J204" i="44"/>
  <c r="J205" i="44"/>
  <c r="E205" i="44"/>
  <c r="F205" i="44"/>
  <c r="G205" i="44"/>
  <c r="C205" i="44"/>
  <c r="E167" i="53"/>
  <c r="E190" i="44"/>
  <c r="F190" i="44"/>
  <c r="G190" i="44"/>
  <c r="J190" i="44"/>
  <c r="C190" i="44"/>
  <c r="E174" i="44"/>
  <c r="F174" i="44"/>
  <c r="G174" i="44"/>
  <c r="C174" i="44"/>
  <c r="C172" i="44"/>
  <c r="F40" i="51"/>
  <c r="F63" i="51"/>
  <c r="F82" i="51"/>
  <c r="F24" i="51"/>
  <c r="F79" i="53"/>
  <c r="F62" i="53"/>
  <c r="F40" i="53"/>
  <c r="F24" i="53"/>
  <c r="F84" i="43"/>
  <c r="F66" i="43"/>
  <c r="F43" i="43"/>
  <c r="F26" i="43"/>
  <c r="E160" i="43"/>
  <c r="C140" i="43"/>
  <c r="G16" i="47"/>
  <c r="D15" i="40" s="1"/>
  <c r="F108" i="51" s="1"/>
  <c r="C138" i="44"/>
  <c r="AY231" i="44"/>
  <c r="AY230" i="44"/>
  <c r="AY228" i="44"/>
  <c r="AY227" i="44"/>
  <c r="AY226" i="44"/>
  <c r="AY224" i="44"/>
  <c r="AY223" i="44"/>
  <c r="AY222" i="44"/>
  <c r="AY220" i="44"/>
  <c r="AY219" i="44"/>
  <c r="E192" i="53"/>
  <c r="E186" i="69"/>
  <c r="G186" i="69" s="1"/>
  <c r="G190" i="69" s="1"/>
  <c r="G191" i="69" s="1"/>
  <c r="F167" i="53"/>
  <c r="E168" i="53"/>
  <c r="F161" i="53"/>
  <c r="F132" i="53"/>
  <c r="F131" i="53"/>
  <c r="E144" i="53"/>
  <c r="E145" i="53"/>
  <c r="E146" i="53"/>
  <c r="E147" i="53"/>
  <c r="E148" i="53"/>
  <c r="E149" i="53"/>
  <c r="C128" i="53"/>
  <c r="C129" i="53"/>
  <c r="C146" i="53" s="1"/>
  <c r="C130" i="53"/>
  <c r="C131" i="53"/>
  <c r="C132" i="53"/>
  <c r="E132" i="53" s="1"/>
  <c r="C127" i="53"/>
  <c r="E66" i="53"/>
  <c r="E72" i="53" s="1"/>
  <c r="E49" i="53"/>
  <c r="E59" i="53" s="1"/>
  <c r="E37" i="53"/>
  <c r="E36" i="53"/>
  <c r="E21" i="53"/>
  <c r="E20" i="53"/>
  <c r="E235" i="53"/>
  <c r="E232" i="53"/>
  <c r="F193" i="53"/>
  <c r="E193" i="53"/>
  <c r="D192" i="53"/>
  <c r="E191" i="53"/>
  <c r="F185" i="53"/>
  <c r="F184" i="53"/>
  <c r="F183" i="53"/>
  <c r="F182" i="53"/>
  <c r="D181" i="53"/>
  <c r="E180" i="53"/>
  <c r="F168" i="53"/>
  <c r="F162" i="53"/>
  <c r="E153" i="53"/>
  <c r="C136" i="53"/>
  <c r="E136" i="53" s="1"/>
  <c r="E160" i="53" s="1"/>
  <c r="F117" i="53"/>
  <c r="F116" i="53"/>
  <c r="F115" i="53"/>
  <c r="F113" i="53"/>
  <c r="F112" i="53"/>
  <c r="F111" i="53"/>
  <c r="F110" i="53"/>
  <c r="F106" i="53"/>
  <c r="F105" i="53"/>
  <c r="F103" i="53"/>
  <c r="F102" i="53"/>
  <c r="F101" i="53"/>
  <c r="F100" i="53"/>
  <c r="F99" i="53"/>
  <c r="F95" i="53"/>
  <c r="F94" i="53"/>
  <c r="F92" i="53"/>
  <c r="F91" i="53"/>
  <c r="F90" i="53"/>
  <c r="F89" i="53"/>
  <c r="B75" i="53"/>
  <c r="B73" i="53"/>
  <c r="F69" i="53"/>
  <c r="E69" i="53"/>
  <c r="E68" i="53"/>
  <c r="E67" i="53"/>
  <c r="B66" i="53"/>
  <c r="B63" i="53"/>
  <c r="B58" i="53"/>
  <c r="B56" i="53"/>
  <c r="E55" i="53"/>
  <c r="E54" i="53"/>
  <c r="F52" i="53"/>
  <c r="E52" i="53"/>
  <c r="E51" i="53"/>
  <c r="E50" i="53"/>
  <c r="F50" i="53" s="1"/>
  <c r="B50" i="53" s="1"/>
  <c r="B49" i="53"/>
  <c r="B41" i="53"/>
  <c r="F39" i="53"/>
  <c r="B35" i="53"/>
  <c r="B33" i="53"/>
  <c r="E32" i="53"/>
  <c r="E31" i="53"/>
  <c r="F29" i="53"/>
  <c r="E29" i="53"/>
  <c r="E28" i="53"/>
  <c r="F23" i="53"/>
  <c r="B19" i="53"/>
  <c r="B17" i="53"/>
  <c r="E16" i="53"/>
  <c r="E15" i="53"/>
  <c r="F13" i="53"/>
  <c r="E13" i="53"/>
  <c r="E12" i="53"/>
  <c r="E204" i="44"/>
  <c r="F204" i="44"/>
  <c r="G204" i="44"/>
  <c r="C204" i="44"/>
  <c r="E189" i="44"/>
  <c r="F189" i="44"/>
  <c r="G189" i="44"/>
  <c r="J189" i="44"/>
  <c r="C189" i="44"/>
  <c r="E172" i="44"/>
  <c r="F172" i="44"/>
  <c r="G172" i="44"/>
  <c r="E196" i="51"/>
  <c r="E172" i="51"/>
  <c r="E67" i="51"/>
  <c r="E48" i="51"/>
  <c r="E20" i="51"/>
  <c r="E240" i="51"/>
  <c r="E237" i="51"/>
  <c r="F197" i="51"/>
  <c r="E197" i="51"/>
  <c r="D196" i="51"/>
  <c r="E195" i="51"/>
  <c r="F189" i="51"/>
  <c r="F188" i="51"/>
  <c r="F187" i="51"/>
  <c r="F186" i="51"/>
  <c r="D185" i="51"/>
  <c r="E184" i="51"/>
  <c r="F172" i="51"/>
  <c r="F171" i="51"/>
  <c r="F166" i="51"/>
  <c r="F165" i="51"/>
  <c r="E155" i="51"/>
  <c r="E151" i="51"/>
  <c r="E149" i="51"/>
  <c r="C139" i="51"/>
  <c r="E139" i="51" s="1"/>
  <c r="E164" i="51" s="1"/>
  <c r="C135" i="51"/>
  <c r="C133" i="51"/>
  <c r="E133" i="51" s="1"/>
  <c r="F121" i="51"/>
  <c r="F120" i="51"/>
  <c r="F119" i="51"/>
  <c r="F117" i="51"/>
  <c r="F116" i="51"/>
  <c r="F115" i="51"/>
  <c r="F114" i="51"/>
  <c r="F110" i="51"/>
  <c r="F109" i="51"/>
  <c r="F107" i="51"/>
  <c r="F106" i="51"/>
  <c r="F105" i="51"/>
  <c r="F104" i="51"/>
  <c r="F103" i="51"/>
  <c r="F99" i="51"/>
  <c r="F98" i="51"/>
  <c r="F96" i="51"/>
  <c r="F95" i="51"/>
  <c r="F94" i="51"/>
  <c r="F93" i="51"/>
  <c r="F78" i="51"/>
  <c r="B76" i="51"/>
  <c r="B74" i="51"/>
  <c r="F70" i="51"/>
  <c r="E70" i="51"/>
  <c r="E69" i="51"/>
  <c r="E68" i="51"/>
  <c r="F68" i="51" s="1"/>
  <c r="B67" i="51"/>
  <c r="B64" i="51"/>
  <c r="F59" i="51"/>
  <c r="B57" i="51"/>
  <c r="B55" i="51"/>
  <c r="E54" i="51"/>
  <c r="E53" i="51"/>
  <c r="F51" i="51"/>
  <c r="E51" i="51"/>
  <c r="E50" i="51"/>
  <c r="E49" i="51"/>
  <c r="F49" i="51" s="1"/>
  <c r="B48" i="51"/>
  <c r="B41" i="51"/>
  <c r="F39" i="51"/>
  <c r="B35" i="51"/>
  <c r="B33" i="51"/>
  <c r="E32" i="51"/>
  <c r="E31" i="51"/>
  <c r="F29" i="51"/>
  <c r="E29" i="51"/>
  <c r="E28" i="51"/>
  <c r="F23" i="51"/>
  <c r="B19" i="51"/>
  <c r="B17" i="51"/>
  <c r="E16" i="51"/>
  <c r="E15" i="51"/>
  <c r="F13" i="51"/>
  <c r="E13" i="51"/>
  <c r="E12" i="51"/>
  <c r="E188" i="44"/>
  <c r="F188" i="44"/>
  <c r="G188" i="44"/>
  <c r="J188" i="44"/>
  <c r="C188" i="44"/>
  <c r="F171" i="44"/>
  <c r="G171" i="44"/>
  <c r="E187" i="44"/>
  <c r="F187" i="44"/>
  <c r="G187" i="44"/>
  <c r="J187" i="44"/>
  <c r="C187" i="44"/>
  <c r="E40" i="43"/>
  <c r="C8" i="46"/>
  <c r="C10" i="46" s="1"/>
  <c r="E243" i="43"/>
  <c r="E251" i="43" s="1"/>
  <c r="E223" i="44"/>
  <c r="C137" i="43"/>
  <c r="C135" i="43"/>
  <c r="E227" i="44"/>
  <c r="E224" i="44"/>
  <c r="D39" i="40"/>
  <c r="F96" i="71" s="1"/>
  <c r="G179" i="44"/>
  <c r="C168" i="44"/>
  <c r="D38" i="40"/>
  <c r="D24" i="35"/>
  <c r="D45" i="40" s="1"/>
  <c r="D12" i="35"/>
  <c r="H19" i="46"/>
  <c r="H20" i="46" s="1"/>
  <c r="B35" i="46"/>
  <c r="H12" i="46" s="1"/>
  <c r="J9" i="45"/>
  <c r="I9" i="45"/>
  <c r="H9" i="45"/>
  <c r="C9" i="45" s="1"/>
  <c r="C10" i="45" s="1"/>
  <c r="B78" i="45" s="1"/>
  <c r="J16" i="46"/>
  <c r="K13" i="46"/>
  <c r="J13" i="46"/>
  <c r="B26" i="45"/>
  <c r="B26" i="46"/>
  <c r="B42" i="46"/>
  <c r="B33" i="45"/>
  <c r="B76" i="45"/>
  <c r="B60" i="43"/>
  <c r="B62" i="43"/>
  <c r="B78" i="43"/>
  <c r="B80" i="43"/>
  <c r="E59" i="43"/>
  <c r="E58" i="43"/>
  <c r="E205" i="43"/>
  <c r="E203" i="43"/>
  <c r="B71" i="43"/>
  <c r="B53" i="43"/>
  <c r="B67" i="43"/>
  <c r="B36" i="43"/>
  <c r="B38" i="43"/>
  <c r="B44" i="43"/>
  <c r="B21" i="43"/>
  <c r="B19" i="43"/>
  <c r="F196" i="43"/>
  <c r="F195" i="43"/>
  <c r="F197" i="43"/>
  <c r="F205" i="43"/>
  <c r="F194" i="43"/>
  <c r="F173" i="43"/>
  <c r="E198" i="43"/>
  <c r="E197" i="43"/>
  <c r="E196" i="43"/>
  <c r="E195" i="43"/>
  <c r="E194" i="43"/>
  <c r="E192" i="43"/>
  <c r="E204" i="43"/>
  <c r="E179" i="43"/>
  <c r="F179" i="43"/>
  <c r="E159" i="43"/>
  <c r="E164" i="43"/>
  <c r="E157" i="43"/>
  <c r="E155" i="43"/>
  <c r="E154" i="43"/>
  <c r="E31" i="43"/>
  <c r="C139" i="43"/>
  <c r="C144" i="43"/>
  <c r="E144" i="43" s="1"/>
  <c r="E171" i="43" s="1"/>
  <c r="C134" i="43"/>
  <c r="C132" i="43"/>
  <c r="E132" i="43" s="1"/>
  <c r="C185" i="44"/>
  <c r="J200" i="44"/>
  <c r="G200" i="44"/>
  <c r="F200" i="44"/>
  <c r="E200" i="44"/>
  <c r="C200" i="44"/>
  <c r="C208" i="44" s="1"/>
  <c r="J185" i="44"/>
  <c r="G185" i="44"/>
  <c r="F185" i="44"/>
  <c r="E185" i="44"/>
  <c r="F122" i="43"/>
  <c r="F121" i="43"/>
  <c r="F120" i="43"/>
  <c r="F111" i="43"/>
  <c r="F110" i="43"/>
  <c r="F108" i="43"/>
  <c r="F100" i="43"/>
  <c r="F99" i="43"/>
  <c r="F118" i="43"/>
  <c r="F107" i="43"/>
  <c r="F97" i="43"/>
  <c r="F117" i="43"/>
  <c r="F106" i="43"/>
  <c r="F96" i="43"/>
  <c r="F116" i="43"/>
  <c r="F105" i="43"/>
  <c r="F95" i="43"/>
  <c r="F115" i="43"/>
  <c r="F104" i="43"/>
  <c r="F94" i="43"/>
  <c r="F168" i="44"/>
  <c r="F179" i="44" s="1"/>
  <c r="E179" i="44"/>
  <c r="E186" i="44"/>
  <c r="F186" i="44"/>
  <c r="G186" i="44"/>
  <c r="J186" i="44"/>
  <c r="C186" i="44"/>
  <c r="F74" i="43"/>
  <c r="E74" i="43"/>
  <c r="E73" i="43"/>
  <c r="E72" i="43"/>
  <c r="E71" i="43"/>
  <c r="E77" i="43" s="1"/>
  <c r="E35" i="43"/>
  <c r="E34" i="43"/>
  <c r="E18" i="43"/>
  <c r="E17" i="43"/>
  <c r="E14" i="43"/>
  <c r="F15" i="43"/>
  <c r="E54" i="43"/>
  <c r="F54" i="43" s="1"/>
  <c r="B54" i="43" s="1"/>
  <c r="E53" i="43"/>
  <c r="E65" i="43" s="1"/>
  <c r="E66" i="43" s="1"/>
  <c r="E56" i="43"/>
  <c r="E55" i="43"/>
  <c r="F56" i="43"/>
  <c r="C150" i="44"/>
  <c r="C157" i="44"/>
  <c r="E32" i="43"/>
  <c r="F32" i="43"/>
  <c r="F42" i="43"/>
  <c r="E22" i="43"/>
  <c r="C93" i="44"/>
  <c r="F25" i="43"/>
  <c r="C103" i="44"/>
  <c r="E38" i="75" s="1"/>
  <c r="F38" i="75" s="1"/>
  <c r="G38" i="75" s="1"/>
  <c r="C102" i="44"/>
  <c r="G22" i="75" s="1"/>
  <c r="C96" i="44"/>
  <c r="C95" i="44"/>
  <c r="C105" i="44"/>
  <c r="C104" i="44"/>
  <c r="E60" i="75" s="1"/>
  <c r="F60" i="75" s="1"/>
  <c r="G60" i="75" s="1"/>
  <c r="F61" i="75" s="1"/>
  <c r="G61" i="75" s="1"/>
  <c r="D204" i="43"/>
  <c r="D193" i="43"/>
  <c r="F178" i="43"/>
  <c r="F186" i="53"/>
  <c r="G186" i="53" s="1"/>
  <c r="F190" i="51"/>
  <c r="C21" i="46"/>
  <c r="L13" i="46"/>
  <c r="E181" i="53"/>
  <c r="C11" i="46"/>
  <c r="H13" i="46" s="1"/>
  <c r="H16" i="46" s="1"/>
  <c r="C26" i="46"/>
  <c r="F198" i="43"/>
  <c r="E185" i="51"/>
  <c r="E171" i="51"/>
  <c r="G202" i="44"/>
  <c r="E203" i="44"/>
  <c r="E186" i="43"/>
  <c r="C202" i="44"/>
  <c r="F202" i="44"/>
  <c r="E202" i="44"/>
  <c r="J202" i="44"/>
  <c r="E39" i="43"/>
  <c r="D17" i="35" l="1"/>
  <c r="K17" i="35"/>
  <c r="F109" i="43"/>
  <c r="H17" i="46"/>
  <c r="F128" i="75"/>
  <c r="F127" i="75"/>
  <c r="F100" i="71"/>
  <c r="F120" i="71" s="1"/>
  <c r="F136" i="75"/>
  <c r="F114" i="75"/>
  <c r="G114" i="75" s="1"/>
  <c r="G118" i="75" s="1"/>
  <c r="F104" i="75"/>
  <c r="G104" i="75" s="1"/>
  <c r="G107" i="75" s="1"/>
  <c r="F93" i="75"/>
  <c r="E77" i="75"/>
  <c r="F77" i="75" s="1"/>
  <c r="G77" i="75" s="1"/>
  <c r="F78" i="75" s="1"/>
  <c r="G78" i="75" s="1"/>
  <c r="E195" i="44"/>
  <c r="J195" i="44"/>
  <c r="G194" i="44"/>
  <c r="C12" i="46"/>
  <c r="C13" i="46" s="1"/>
  <c r="B51" i="46" s="1"/>
  <c r="B66" i="46"/>
  <c r="B67" i="46" s="1"/>
  <c r="B79" i="45"/>
  <c r="B80" i="45" s="1"/>
  <c r="G182" i="53"/>
  <c r="M13" i="46"/>
  <c r="D11" i="35"/>
  <c r="D46" i="40"/>
  <c r="F75" i="71"/>
  <c r="G75" i="71" s="1"/>
  <c r="G79" i="71" s="1"/>
  <c r="F65" i="71"/>
  <c r="G65" i="71" s="1"/>
  <c r="G68" i="71" s="1"/>
  <c r="F54" i="71"/>
  <c r="G54" i="71" s="1"/>
  <c r="G57" i="71" s="1"/>
  <c r="F93" i="53"/>
  <c r="F114" i="53"/>
  <c r="F95" i="69"/>
  <c r="F116" i="69"/>
  <c r="G116" i="69" s="1"/>
  <c r="G120" i="69" s="1"/>
  <c r="F114" i="60"/>
  <c r="F93" i="60"/>
  <c r="F97" i="51"/>
  <c r="F98" i="43"/>
  <c r="F119" i="43"/>
  <c r="F118" i="51"/>
  <c r="F106" i="69"/>
  <c r="G106" i="69" s="1"/>
  <c r="G109" i="69" s="1"/>
  <c r="E38" i="69"/>
  <c r="F38" i="69" s="1"/>
  <c r="G38" i="69" s="1"/>
  <c r="E39" i="71"/>
  <c r="F39" i="71" s="1"/>
  <c r="G39" i="71" s="1"/>
  <c r="H11" i="46"/>
  <c r="F104" i="60"/>
  <c r="E22" i="69"/>
  <c r="F22" i="69" s="1"/>
  <c r="G22" i="69" s="1"/>
  <c r="E23" i="71"/>
  <c r="F23" i="71" s="1"/>
  <c r="G23" i="71" s="1"/>
  <c r="K16" i="46"/>
  <c r="E61" i="69"/>
  <c r="F61" i="69" s="1"/>
  <c r="G61" i="69" s="1"/>
  <c r="F62" i="69" s="1"/>
  <c r="G62" i="69" s="1"/>
  <c r="B74" i="46"/>
  <c r="B75" i="46" s="1"/>
  <c r="F104" i="53"/>
  <c r="F133" i="43"/>
  <c r="G133" i="43" s="1"/>
  <c r="F90" i="71"/>
  <c r="F89" i="71"/>
  <c r="F88" i="71"/>
  <c r="G96" i="71"/>
  <c r="F116" i="71"/>
  <c r="G116" i="71" s="1"/>
  <c r="E187" i="43"/>
  <c r="G145" i="71"/>
  <c r="E134" i="60"/>
  <c r="E135" i="60"/>
  <c r="E140" i="60"/>
  <c r="G140" i="60" s="1"/>
  <c r="E128" i="60"/>
  <c r="E136" i="60"/>
  <c r="E141" i="60"/>
  <c r="G141" i="60" s="1"/>
  <c r="E129" i="60"/>
  <c r="E137" i="60"/>
  <c r="E130" i="60"/>
  <c r="C162" i="60"/>
  <c r="E131" i="60"/>
  <c r="E132" i="60"/>
  <c r="E133" i="60"/>
  <c r="C193" i="44"/>
  <c r="E39" i="53"/>
  <c r="G39" i="53" s="1"/>
  <c r="E39" i="60"/>
  <c r="G39" i="60" s="1"/>
  <c r="E253" i="60"/>
  <c r="E163" i="51"/>
  <c r="E165" i="51" s="1"/>
  <c r="E205" i="60"/>
  <c r="G205" i="60" s="1"/>
  <c r="C179" i="44"/>
  <c r="C175" i="44"/>
  <c r="E245" i="51"/>
  <c r="E77" i="51"/>
  <c r="E79" i="51" s="1"/>
  <c r="E81" i="51"/>
  <c r="E82" i="51" s="1"/>
  <c r="G82" i="51" s="1"/>
  <c r="E58" i="51"/>
  <c r="E62" i="51"/>
  <c r="E63" i="51" s="1"/>
  <c r="G63" i="51" s="1"/>
  <c r="E43" i="43"/>
  <c r="E42" i="43"/>
  <c r="G42" i="43" s="1"/>
  <c r="F12" i="60"/>
  <c r="B12" i="60" s="1"/>
  <c r="E140" i="43"/>
  <c r="E139" i="43"/>
  <c r="E134" i="43"/>
  <c r="E170" i="43" s="1"/>
  <c r="E172" i="43" s="1"/>
  <c r="G172" i="43" s="1"/>
  <c r="E137" i="43"/>
  <c r="F28" i="69"/>
  <c r="F12" i="69"/>
  <c r="D50" i="40"/>
  <c r="F131" i="69"/>
  <c r="F130" i="69"/>
  <c r="F51" i="69"/>
  <c r="G68" i="69"/>
  <c r="F69" i="69" s="1"/>
  <c r="G69" i="69" s="1"/>
  <c r="G71" i="69" s="1"/>
  <c r="B68" i="69"/>
  <c r="F139" i="69"/>
  <c r="G139" i="69" s="1"/>
  <c r="E80" i="51"/>
  <c r="F80" i="51" s="1"/>
  <c r="G80" i="51" s="1"/>
  <c r="F81" i="51" s="1"/>
  <c r="E78" i="69"/>
  <c r="C149" i="53"/>
  <c r="E131" i="53"/>
  <c r="G131" i="53" s="1"/>
  <c r="E130" i="53"/>
  <c r="E129" i="53"/>
  <c r="E240" i="53"/>
  <c r="C161" i="60"/>
  <c r="F28" i="53"/>
  <c r="G28" i="53" s="1"/>
  <c r="C201" i="44"/>
  <c r="C206" i="44" s="1"/>
  <c r="F191" i="44"/>
  <c r="G187" i="60"/>
  <c r="G215" i="60"/>
  <c r="G216" i="60" s="1"/>
  <c r="G217" i="60" s="1"/>
  <c r="C148" i="53"/>
  <c r="E134" i="51"/>
  <c r="J210" i="44"/>
  <c r="E180" i="44"/>
  <c r="F180" i="44"/>
  <c r="G180" i="44"/>
  <c r="F210" i="44"/>
  <c r="E209" i="44"/>
  <c r="G209" i="44"/>
  <c r="G188" i="60"/>
  <c r="C147" i="53"/>
  <c r="F201" i="44"/>
  <c r="F206" i="44" s="1"/>
  <c r="E201" i="44"/>
  <c r="E206" i="44" s="1"/>
  <c r="J194" i="44"/>
  <c r="E135" i="51"/>
  <c r="J207" i="44"/>
  <c r="J191" i="44"/>
  <c r="C210" i="44"/>
  <c r="G191" i="44"/>
  <c r="C192" i="44"/>
  <c r="E192" i="44"/>
  <c r="F178" i="44"/>
  <c r="E77" i="60"/>
  <c r="F77" i="60" s="1"/>
  <c r="G77" i="60" s="1"/>
  <c r="F78" i="60" s="1"/>
  <c r="G78" i="60" s="1"/>
  <c r="C195" i="44"/>
  <c r="C194" i="44"/>
  <c r="E194" i="44"/>
  <c r="G195" i="44"/>
  <c r="F176" i="44"/>
  <c r="G168" i="53"/>
  <c r="G178" i="44"/>
  <c r="C207" i="44"/>
  <c r="F209" i="44"/>
  <c r="E59" i="51"/>
  <c r="G59" i="51" s="1"/>
  <c r="F60" i="51" s="1"/>
  <c r="C209" i="44"/>
  <c r="F207" i="44"/>
  <c r="E191" i="44"/>
  <c r="C191" i="44"/>
  <c r="G210" i="44"/>
  <c r="E207" i="44"/>
  <c r="E210" i="44"/>
  <c r="G201" i="44"/>
  <c r="G206" i="44" s="1"/>
  <c r="G207" i="44"/>
  <c r="E82" i="43"/>
  <c r="F82" i="43" s="1"/>
  <c r="G82" i="43" s="1"/>
  <c r="F83" i="43" s="1"/>
  <c r="E185" i="43"/>
  <c r="G185" i="43" s="1"/>
  <c r="E38" i="60"/>
  <c r="F38" i="60" s="1"/>
  <c r="E208" i="44"/>
  <c r="F192" i="44"/>
  <c r="E77" i="53"/>
  <c r="F77" i="53" s="1"/>
  <c r="G77" i="53" s="1"/>
  <c r="F78" i="53" s="1"/>
  <c r="E179" i="51"/>
  <c r="G179" i="51" s="1"/>
  <c r="G192" i="44"/>
  <c r="E38" i="51"/>
  <c r="F38" i="51" s="1"/>
  <c r="G38" i="51" s="1"/>
  <c r="J203" i="44"/>
  <c r="J208" i="44" s="1"/>
  <c r="E64" i="43"/>
  <c r="F64" i="43" s="1"/>
  <c r="E38" i="53"/>
  <c r="F38" i="53" s="1"/>
  <c r="G38" i="53" s="1"/>
  <c r="E24" i="43"/>
  <c r="F24" i="43" s="1"/>
  <c r="E41" i="43"/>
  <c r="F41" i="43" s="1"/>
  <c r="G41" i="43" s="1"/>
  <c r="G176" i="44"/>
  <c r="G189" i="60"/>
  <c r="G208" i="60"/>
  <c r="C160" i="60"/>
  <c r="C165" i="60"/>
  <c r="E138" i="60"/>
  <c r="G186" i="60"/>
  <c r="C164" i="60"/>
  <c r="E176" i="44"/>
  <c r="E178" i="44"/>
  <c r="E178" i="51"/>
  <c r="G178" i="51" s="1"/>
  <c r="G177" i="44"/>
  <c r="F177" i="44"/>
  <c r="E193" i="44"/>
  <c r="J209" i="44"/>
  <c r="E135" i="43"/>
  <c r="C159" i="44"/>
  <c r="G193" i="44"/>
  <c r="G198" i="43"/>
  <c r="G172" i="51"/>
  <c r="G184" i="53"/>
  <c r="E23" i="60"/>
  <c r="E24" i="60" s="1"/>
  <c r="G24" i="60" s="1"/>
  <c r="E78" i="53"/>
  <c r="E79" i="53" s="1"/>
  <c r="G79" i="53" s="1"/>
  <c r="E76" i="53"/>
  <c r="E71" i="53"/>
  <c r="G190" i="51"/>
  <c r="G207" i="60"/>
  <c r="G185" i="60"/>
  <c r="G186" i="51"/>
  <c r="G204" i="60"/>
  <c r="E23" i="53"/>
  <c r="G23" i="53" s="1"/>
  <c r="G195" i="60"/>
  <c r="G194" i="43"/>
  <c r="G178" i="43"/>
  <c r="E60" i="51"/>
  <c r="E71" i="60"/>
  <c r="E72" i="60"/>
  <c r="E73" i="51"/>
  <c r="E76" i="60"/>
  <c r="F145" i="60"/>
  <c r="F136" i="53"/>
  <c r="D43" i="40"/>
  <c r="D51" i="40"/>
  <c r="F160" i="75" s="1"/>
  <c r="G160" i="75" s="1"/>
  <c r="F50" i="60"/>
  <c r="B50" i="60" s="1"/>
  <c r="F72" i="43"/>
  <c r="B72" i="43" s="1"/>
  <c r="G74" i="43"/>
  <c r="F149" i="53"/>
  <c r="G149" i="53" s="1"/>
  <c r="G69" i="53"/>
  <c r="B68" i="51"/>
  <c r="F67" i="53"/>
  <c r="F67" i="60"/>
  <c r="G67" i="60" s="1"/>
  <c r="F68" i="60" s="1"/>
  <c r="G68" i="60" s="1"/>
  <c r="G193" i="53"/>
  <c r="G194" i="53" s="1"/>
  <c r="G195" i="53" s="1"/>
  <c r="F136" i="60"/>
  <c r="F137" i="60"/>
  <c r="F128" i="53"/>
  <c r="F127" i="53"/>
  <c r="G50" i="53"/>
  <c r="F51" i="53" s="1"/>
  <c r="G51" i="53" s="1"/>
  <c r="G189" i="51"/>
  <c r="G175" i="53"/>
  <c r="G183" i="53"/>
  <c r="G188" i="51"/>
  <c r="G171" i="51"/>
  <c r="G196" i="60"/>
  <c r="G66" i="43"/>
  <c r="G186" i="43"/>
  <c r="G56" i="43"/>
  <c r="G29" i="51"/>
  <c r="G51" i="51"/>
  <c r="G69" i="60"/>
  <c r="G29" i="53"/>
  <c r="G174" i="53"/>
  <c r="G196" i="43"/>
  <c r="G13" i="51"/>
  <c r="G13" i="60"/>
  <c r="G70" i="51"/>
  <c r="E173" i="43"/>
  <c r="G173" i="43" s="1"/>
  <c r="G195" i="43"/>
  <c r="G205" i="43"/>
  <c r="G206" i="43" s="1"/>
  <c r="G207" i="43" s="1"/>
  <c r="G32" i="43"/>
  <c r="G197" i="43"/>
  <c r="D37" i="40"/>
  <c r="C163" i="60"/>
  <c r="E139" i="60"/>
  <c r="E78" i="51"/>
  <c r="G78" i="51" s="1"/>
  <c r="F79" i="51" s="1"/>
  <c r="F139" i="51"/>
  <c r="F144" i="43"/>
  <c r="E22" i="51"/>
  <c r="F22" i="51" s="1"/>
  <c r="G22" i="51" s="1"/>
  <c r="E22" i="53"/>
  <c r="F22" i="53" s="1"/>
  <c r="G22" i="53" s="1"/>
  <c r="E22" i="60"/>
  <c r="F22" i="60" s="1"/>
  <c r="G22" i="60" s="1"/>
  <c r="C160" i="44"/>
  <c r="F197" i="60"/>
  <c r="G197" i="60" s="1"/>
  <c r="F187" i="43"/>
  <c r="F195" i="44"/>
  <c r="F140" i="43"/>
  <c r="J201" i="44"/>
  <c r="J206" i="44" s="1"/>
  <c r="E60" i="60"/>
  <c r="F60" i="60" s="1"/>
  <c r="G60" i="60" s="1"/>
  <c r="F61" i="60" s="1"/>
  <c r="G61" i="60" s="1"/>
  <c r="E61" i="51"/>
  <c r="F61" i="51" s="1"/>
  <c r="E60" i="53"/>
  <c r="F60" i="53" s="1"/>
  <c r="G60" i="53" s="1"/>
  <c r="F61" i="53" s="1"/>
  <c r="J193" i="44"/>
  <c r="G52" i="53"/>
  <c r="C144" i="53"/>
  <c r="E127" i="53"/>
  <c r="C177" i="44"/>
  <c r="E21" i="51"/>
  <c r="E171" i="44"/>
  <c r="E177" i="44" s="1"/>
  <c r="B42" i="45"/>
  <c r="C11" i="45"/>
  <c r="B43" i="45"/>
  <c r="G203" i="44"/>
  <c r="G208" i="44" s="1"/>
  <c r="F203" i="44"/>
  <c r="F208" i="44" s="1"/>
  <c r="E37" i="51"/>
  <c r="E39" i="51" s="1"/>
  <c r="E40" i="51" s="1"/>
  <c r="F193" i="44"/>
  <c r="F194" i="44"/>
  <c r="N13" i="46"/>
  <c r="G167" i="53"/>
  <c r="J192" i="44"/>
  <c r="C178" i="44"/>
  <c r="C176" i="44"/>
  <c r="C180" i="44"/>
  <c r="E178" i="60"/>
  <c r="E180" i="60" s="1"/>
  <c r="G180" i="60" s="1"/>
  <c r="G187" i="51"/>
  <c r="G197" i="51"/>
  <c r="G198" i="51" s="1"/>
  <c r="G199" i="51" s="1"/>
  <c r="G13" i="53"/>
  <c r="G52" i="60"/>
  <c r="F31" i="43"/>
  <c r="G179" i="43"/>
  <c r="G15" i="43"/>
  <c r="G185" i="53"/>
  <c r="G29" i="60"/>
  <c r="F14" i="43"/>
  <c r="G206" i="60"/>
  <c r="G62" i="60"/>
  <c r="F12" i="53"/>
  <c r="B13" i="53" s="1"/>
  <c r="G79" i="60"/>
  <c r="F128" i="60"/>
  <c r="F134" i="43"/>
  <c r="F132" i="43"/>
  <c r="F127" i="60"/>
  <c r="F129" i="60"/>
  <c r="D49" i="40"/>
  <c r="F128" i="71" s="1"/>
  <c r="G128" i="71" s="1"/>
  <c r="D41" i="40"/>
  <c r="E63" i="43"/>
  <c r="E61" i="53"/>
  <c r="E62" i="53" s="1"/>
  <c r="G62" i="53" s="1"/>
  <c r="E59" i="60"/>
  <c r="G54" i="43"/>
  <c r="F55" i="43" s="1"/>
  <c r="G169" i="44"/>
  <c r="G175" i="44" s="1"/>
  <c r="E23" i="43"/>
  <c r="E25" i="43" s="1"/>
  <c r="E169" i="44"/>
  <c r="E175" i="44" s="1"/>
  <c r="F169" i="44"/>
  <c r="F175" i="44" s="1"/>
  <c r="F28" i="51"/>
  <c r="G132" i="53"/>
  <c r="F28" i="60"/>
  <c r="B28" i="60" s="1"/>
  <c r="E76" i="43"/>
  <c r="E72" i="51"/>
  <c r="G49" i="51"/>
  <c r="F50" i="51" s="1"/>
  <c r="G50" i="51" s="1"/>
  <c r="B49" i="51"/>
  <c r="E83" i="43"/>
  <c r="E84" i="43" s="1"/>
  <c r="G84" i="43" s="1"/>
  <c r="E81" i="43"/>
  <c r="C145" i="53"/>
  <c r="E128" i="53"/>
  <c r="F12" i="51"/>
  <c r="G12" i="51" s="1"/>
  <c r="D36" i="40" l="1"/>
  <c r="D18" i="35"/>
  <c r="G14" i="51"/>
  <c r="F15" i="51" s="1"/>
  <c r="G15" i="51" s="1"/>
  <c r="G187" i="43"/>
  <c r="B100" i="71"/>
  <c r="G100" i="71"/>
  <c r="G101" i="71" s="1"/>
  <c r="F129" i="75"/>
  <c r="B129" i="75" s="1"/>
  <c r="F133" i="69"/>
  <c r="F132" i="69"/>
  <c r="F130" i="75"/>
  <c r="F139" i="60"/>
  <c r="F163" i="60" s="1"/>
  <c r="G163" i="60" s="1"/>
  <c r="F130" i="53"/>
  <c r="F147" i="53" s="1"/>
  <c r="G147" i="53" s="1"/>
  <c r="F129" i="53"/>
  <c r="F146" i="53" s="1"/>
  <c r="G146" i="53" s="1"/>
  <c r="F138" i="60"/>
  <c r="F162" i="60" s="1"/>
  <c r="G162" i="60" s="1"/>
  <c r="G136" i="75"/>
  <c r="G137" i="75" s="1"/>
  <c r="B136" i="75"/>
  <c r="F153" i="75"/>
  <c r="F162" i="69"/>
  <c r="G162" i="69" s="1"/>
  <c r="F159" i="75"/>
  <c r="B128" i="75"/>
  <c r="B127" i="75"/>
  <c r="F145" i="75"/>
  <c r="G145" i="75" s="1"/>
  <c r="G128" i="75"/>
  <c r="E89" i="75" a="1"/>
  <c r="F153" i="43"/>
  <c r="G153" i="43" s="1"/>
  <c r="F163" i="69"/>
  <c r="G163" i="69" s="1"/>
  <c r="F129" i="71"/>
  <c r="G129" i="71" s="1"/>
  <c r="G132" i="71" s="1"/>
  <c r="G133" i="71" s="1"/>
  <c r="B88" i="71"/>
  <c r="B89" i="71"/>
  <c r="B90" i="71"/>
  <c r="G88" i="71"/>
  <c r="F108" i="71"/>
  <c r="G108" i="71" s="1"/>
  <c r="F109" i="71"/>
  <c r="G109" i="71" s="1"/>
  <c r="G89" i="71"/>
  <c r="F136" i="43"/>
  <c r="F156" i="43" s="1"/>
  <c r="G156" i="43" s="1"/>
  <c r="F93" i="71"/>
  <c r="F91" i="71"/>
  <c r="B91" i="71" s="1"/>
  <c r="F92" i="71"/>
  <c r="G90" i="71"/>
  <c r="F110" i="71"/>
  <c r="G110" i="71" s="1"/>
  <c r="G80" i="71"/>
  <c r="G120" i="71"/>
  <c r="G121" i="71" s="1"/>
  <c r="F142" i="71"/>
  <c r="G142" i="71" s="1"/>
  <c r="F164" i="60"/>
  <c r="G164" i="60" s="1"/>
  <c r="F95" i="71"/>
  <c r="F94" i="71"/>
  <c r="G127" i="53"/>
  <c r="G128" i="60"/>
  <c r="G187" i="53"/>
  <c r="G188" i="53" s="1"/>
  <c r="G79" i="51"/>
  <c r="B128" i="53"/>
  <c r="G140" i="43"/>
  <c r="B133" i="43"/>
  <c r="B134" i="43"/>
  <c r="F165" i="60"/>
  <c r="G165" i="60" s="1"/>
  <c r="G136" i="60"/>
  <c r="E177" i="60"/>
  <c r="E179" i="60" s="1"/>
  <c r="G179" i="60" s="1"/>
  <c r="G129" i="60"/>
  <c r="E176" i="60"/>
  <c r="B131" i="69"/>
  <c r="F161" i="60"/>
  <c r="G161" i="60" s="1"/>
  <c r="B128" i="60"/>
  <c r="B129" i="60"/>
  <c r="E99" i="60" a="1"/>
  <c r="F152" i="43"/>
  <c r="G152" i="43" s="1"/>
  <c r="F144" i="53"/>
  <c r="G144" i="53" s="1"/>
  <c r="B136" i="53"/>
  <c r="E103" i="51" a="1"/>
  <c r="E110" i="51" s="1"/>
  <c r="E104" i="43" a="1"/>
  <c r="E91" i="69" a="1"/>
  <c r="B15" i="43"/>
  <c r="G28" i="51"/>
  <c r="G30" i="51" s="1"/>
  <c r="F32" i="51" s="1"/>
  <c r="G32" i="51" s="1"/>
  <c r="F160" i="43"/>
  <c r="G160" i="43" s="1"/>
  <c r="G31" i="43"/>
  <c r="G33" i="43" s="1"/>
  <c r="F34" i="43" s="1"/>
  <c r="B34" i="43" s="1"/>
  <c r="B14" i="43"/>
  <c r="F177" i="60"/>
  <c r="G12" i="60"/>
  <c r="G14" i="60" s="1"/>
  <c r="F15" i="60" s="1"/>
  <c r="G15" i="60" s="1"/>
  <c r="B13" i="60"/>
  <c r="B69" i="69"/>
  <c r="F159" i="53"/>
  <c r="B70" i="69"/>
  <c r="F154" i="43"/>
  <c r="G154" i="43" s="1"/>
  <c r="F147" i="69"/>
  <c r="G130" i="69"/>
  <c r="G131" i="69"/>
  <c r="F148" i="69"/>
  <c r="G148" i="69" s="1"/>
  <c r="F156" i="69"/>
  <c r="B139" i="69"/>
  <c r="B13" i="69"/>
  <c r="G12" i="69"/>
  <c r="G14" i="69" s="1"/>
  <c r="B12" i="69"/>
  <c r="F72" i="69"/>
  <c r="F73" i="69"/>
  <c r="G73" i="69" s="1"/>
  <c r="B29" i="69"/>
  <c r="B28" i="69"/>
  <c r="G28" i="69"/>
  <c r="G30" i="69" s="1"/>
  <c r="B51" i="69"/>
  <c r="G51" i="69"/>
  <c r="F52" i="69" s="1"/>
  <c r="G52" i="69" s="1"/>
  <c r="G54" i="69" s="1"/>
  <c r="F78" i="69"/>
  <c r="G78" i="69" s="1"/>
  <c r="F79" i="69" s="1"/>
  <c r="G79" i="69" s="1"/>
  <c r="F148" i="53"/>
  <c r="G148" i="53" s="1"/>
  <c r="F132" i="51"/>
  <c r="F133" i="51"/>
  <c r="G133" i="51" s="1"/>
  <c r="B28" i="53"/>
  <c r="B29" i="53"/>
  <c r="F171" i="43"/>
  <c r="G171" i="43" s="1"/>
  <c r="G105" i="53"/>
  <c r="E110" i="60" a="1"/>
  <c r="E115" i="60" s="1"/>
  <c r="G115" i="60" s="1"/>
  <c r="C161" i="44"/>
  <c r="C162" i="44" s="1"/>
  <c r="G112" i="53"/>
  <c r="E40" i="60"/>
  <c r="G40" i="60" s="1"/>
  <c r="G24" i="43"/>
  <c r="G38" i="60"/>
  <c r="G78" i="53"/>
  <c r="E89" i="53" a="1"/>
  <c r="E95" i="53" s="1"/>
  <c r="G95" i="53" s="1"/>
  <c r="G173" i="51"/>
  <c r="F202" i="51" s="1"/>
  <c r="G202" i="51" s="1"/>
  <c r="G203" i="51" s="1"/>
  <c r="G204" i="51" s="1"/>
  <c r="E24" i="53"/>
  <c r="G24" i="53" s="1"/>
  <c r="G64" i="43"/>
  <c r="F65" i="43" s="1"/>
  <c r="G65" i="43" s="1"/>
  <c r="E115" i="43" a="1"/>
  <c r="E122" i="43" s="1"/>
  <c r="G122" i="43" s="1"/>
  <c r="G209" i="60"/>
  <c r="G210" i="60" s="1"/>
  <c r="G190" i="60"/>
  <c r="F220" i="60" s="1"/>
  <c r="G220" i="60" s="1"/>
  <c r="G221" i="60" s="1"/>
  <c r="G222" i="60" s="1"/>
  <c r="F170" i="60"/>
  <c r="G170" i="60" s="1"/>
  <c r="F160" i="53"/>
  <c r="G160" i="53" s="1"/>
  <c r="F178" i="60"/>
  <c r="G178" i="60" s="1"/>
  <c r="B146" i="60"/>
  <c r="G60" i="51"/>
  <c r="G23" i="60"/>
  <c r="G72" i="43"/>
  <c r="F73" i="43" s="1"/>
  <c r="G145" i="60"/>
  <c r="G147" i="60" s="1"/>
  <c r="F169" i="60"/>
  <c r="G169" i="60" s="1"/>
  <c r="B145" i="60"/>
  <c r="F153" i="53"/>
  <c r="G153" i="53" s="1"/>
  <c r="B52" i="53"/>
  <c r="G50" i="60"/>
  <c r="F51" i="60" s="1"/>
  <c r="B52" i="60" s="1"/>
  <c r="G136" i="53"/>
  <c r="G68" i="51"/>
  <c r="F69" i="51" s="1"/>
  <c r="B70" i="51" s="1"/>
  <c r="F164" i="43"/>
  <c r="G164" i="43" s="1"/>
  <c r="E114" i="51" a="1"/>
  <c r="E114" i="51" s="1"/>
  <c r="G114" i="51" s="1"/>
  <c r="G43" i="43"/>
  <c r="E23" i="51"/>
  <c r="G61" i="53"/>
  <c r="F164" i="51"/>
  <c r="G164" i="51" s="1"/>
  <c r="G169" i="53"/>
  <c r="G14" i="43"/>
  <c r="B68" i="60"/>
  <c r="F160" i="60"/>
  <c r="G160" i="60" s="1"/>
  <c r="B67" i="60"/>
  <c r="B69" i="60"/>
  <c r="B51" i="53"/>
  <c r="G137" i="60"/>
  <c r="G53" i="53"/>
  <c r="F54" i="53" s="1"/>
  <c r="G67" i="53"/>
  <c r="B67" i="53"/>
  <c r="G180" i="43"/>
  <c r="G70" i="60"/>
  <c r="F72" i="60" s="1"/>
  <c r="G72" i="60" s="1"/>
  <c r="G191" i="51"/>
  <c r="G192" i="51" s="1"/>
  <c r="G30" i="53"/>
  <c r="F32" i="53" s="1"/>
  <c r="G32" i="53" s="1"/>
  <c r="G199" i="43"/>
  <c r="G200" i="43" s="1"/>
  <c r="B31" i="43"/>
  <c r="G61" i="51"/>
  <c r="F62" i="51" s="1"/>
  <c r="G62" i="51" s="1"/>
  <c r="B32" i="43"/>
  <c r="G39" i="51"/>
  <c r="G144" i="43"/>
  <c r="G145" i="43" s="1"/>
  <c r="F135" i="43"/>
  <c r="F137" i="43"/>
  <c r="F131" i="60"/>
  <c r="D42" i="40"/>
  <c r="F130" i="60"/>
  <c r="B130" i="60" s="1"/>
  <c r="F132" i="60"/>
  <c r="F135" i="51"/>
  <c r="G135" i="51" s="1"/>
  <c r="F134" i="51"/>
  <c r="G134" i="51" s="1"/>
  <c r="B12" i="53"/>
  <c r="F155" i="51"/>
  <c r="G155" i="51" s="1"/>
  <c r="B139" i="51"/>
  <c r="G139" i="51"/>
  <c r="G140" i="51" s="1"/>
  <c r="F135" i="60"/>
  <c r="F134" i="60"/>
  <c r="G134" i="60" s="1"/>
  <c r="F138" i="43"/>
  <c r="F133" i="60"/>
  <c r="F139" i="43"/>
  <c r="G139" i="43" s="1"/>
  <c r="G12" i="53"/>
  <c r="G14" i="53" s="1"/>
  <c r="F16" i="53" s="1"/>
  <c r="G16" i="53" s="1"/>
  <c r="B144" i="43"/>
  <c r="G28" i="60"/>
  <c r="G30" i="60" s="1"/>
  <c r="F32" i="60" s="1"/>
  <c r="G32" i="60" s="1"/>
  <c r="E89" i="60" a="1"/>
  <c r="G132" i="43"/>
  <c r="F155" i="60"/>
  <c r="G155" i="60" s="1"/>
  <c r="G134" i="43"/>
  <c r="B132" i="43"/>
  <c r="F154" i="60"/>
  <c r="B127" i="60"/>
  <c r="G127" i="60"/>
  <c r="F170" i="43"/>
  <c r="G170" i="43" s="1"/>
  <c r="F163" i="51"/>
  <c r="G163" i="51" s="1"/>
  <c r="F176" i="60"/>
  <c r="B29" i="60"/>
  <c r="G81" i="51"/>
  <c r="B28" i="51"/>
  <c r="G165" i="51"/>
  <c r="B29" i="51"/>
  <c r="E162" i="53"/>
  <c r="G162" i="53" s="1"/>
  <c r="E40" i="53"/>
  <c r="G40" i="53" s="1"/>
  <c r="G83" i="43"/>
  <c r="B51" i="51"/>
  <c r="E159" i="53"/>
  <c r="F145" i="53"/>
  <c r="G128" i="53"/>
  <c r="G52" i="51"/>
  <c r="B50" i="51"/>
  <c r="E166" i="51"/>
  <c r="G166" i="51" s="1"/>
  <c r="B12" i="51"/>
  <c r="B13" i="51"/>
  <c r="B56" i="43"/>
  <c r="G55" i="43"/>
  <c r="G57" i="43" s="1"/>
  <c r="B55" i="43"/>
  <c r="G25" i="43"/>
  <c r="E26" i="43"/>
  <c r="G26" i="43" s="1"/>
  <c r="B133" i="69" l="1"/>
  <c r="B135" i="69"/>
  <c r="B132" i="69"/>
  <c r="C111" i="44"/>
  <c r="E18" i="75" s="1"/>
  <c r="G18" i="75" s="1"/>
  <c r="G19" i="75" s="1"/>
  <c r="F20" i="75" s="1"/>
  <c r="G20" i="75" s="1"/>
  <c r="C115" i="44"/>
  <c r="C116" i="44"/>
  <c r="G16" i="43"/>
  <c r="F17" i="43" s="1"/>
  <c r="F53" i="51"/>
  <c r="G53" i="51" s="1"/>
  <c r="G64" i="51"/>
  <c r="G184" i="71"/>
  <c r="G82" i="71"/>
  <c r="G130" i="53"/>
  <c r="B131" i="75"/>
  <c r="B134" i="69"/>
  <c r="G139" i="60"/>
  <c r="B131" i="53"/>
  <c r="B132" i="75"/>
  <c r="G138" i="60"/>
  <c r="B130" i="75"/>
  <c r="F147" i="75"/>
  <c r="G147" i="75" s="1"/>
  <c r="G130" i="75"/>
  <c r="B130" i="53"/>
  <c r="F149" i="69"/>
  <c r="G149" i="69" s="1"/>
  <c r="G132" i="69"/>
  <c r="B129" i="53"/>
  <c r="F150" i="69"/>
  <c r="G150" i="69" s="1"/>
  <c r="G133" i="69"/>
  <c r="B132" i="53"/>
  <c r="G129" i="53"/>
  <c r="G129" i="75"/>
  <c r="F146" i="75"/>
  <c r="G146" i="75" s="1"/>
  <c r="G166" i="69"/>
  <c r="G167" i="69" s="1"/>
  <c r="G153" i="75"/>
  <c r="G154" i="75" s="1"/>
  <c r="F173" i="75"/>
  <c r="G173" i="75" s="1"/>
  <c r="E92" i="75"/>
  <c r="G92" i="75" s="1"/>
  <c r="E95" i="75"/>
  <c r="G95" i="75" s="1"/>
  <c r="E94" i="75"/>
  <c r="G94" i="75" s="1"/>
  <c r="E93" i="75"/>
  <c r="G93" i="75" s="1"/>
  <c r="E90" i="75"/>
  <c r="G90" i="75" s="1"/>
  <c r="E89" i="75"/>
  <c r="G89" i="75" s="1"/>
  <c r="E91" i="75"/>
  <c r="G91" i="75" s="1"/>
  <c r="G147" i="69"/>
  <c r="G136" i="43"/>
  <c r="C112" i="44"/>
  <c r="E34" i="53" s="1"/>
  <c r="F112" i="71"/>
  <c r="G112" i="71" s="1"/>
  <c r="G92" i="71"/>
  <c r="B92" i="71"/>
  <c r="D12" i="56"/>
  <c r="D16" i="56" s="1"/>
  <c r="J20" i="56" s="1"/>
  <c r="G91" i="71"/>
  <c r="F111" i="71"/>
  <c r="G111" i="71" s="1"/>
  <c r="B93" i="71"/>
  <c r="E19" i="71"/>
  <c r="G19" i="71" s="1"/>
  <c r="G20" i="71" s="1"/>
  <c r="F113" i="71"/>
  <c r="G113" i="71" s="1"/>
  <c r="G93" i="71"/>
  <c r="B95" i="71"/>
  <c r="B96" i="71"/>
  <c r="B94" i="71"/>
  <c r="G94" i="71"/>
  <c r="F114" i="71"/>
  <c r="F115" i="71"/>
  <c r="G115" i="71" s="1"/>
  <c r="G95" i="71"/>
  <c r="G176" i="60"/>
  <c r="F198" i="53"/>
  <c r="G198" i="53" s="1"/>
  <c r="G199" i="53" s="1"/>
  <c r="G200" i="53" s="1"/>
  <c r="G177" i="60"/>
  <c r="B140" i="43"/>
  <c r="B139" i="43"/>
  <c r="B134" i="51"/>
  <c r="B135" i="51"/>
  <c r="B133" i="51"/>
  <c r="B137" i="43"/>
  <c r="B136" i="43"/>
  <c r="F158" i="43"/>
  <c r="G158" i="43" s="1"/>
  <c r="G138" i="43"/>
  <c r="B135" i="43"/>
  <c r="B134" i="60"/>
  <c r="B138" i="43"/>
  <c r="B136" i="60"/>
  <c r="B133" i="60"/>
  <c r="B137" i="60"/>
  <c r="B131" i="60"/>
  <c r="B135" i="60"/>
  <c r="B132" i="60"/>
  <c r="B141" i="60"/>
  <c r="B139" i="60"/>
  <c r="B138" i="60"/>
  <c r="B140" i="60"/>
  <c r="E100" i="60"/>
  <c r="G100" i="60" s="1"/>
  <c r="E101" i="60"/>
  <c r="G101" i="60" s="1"/>
  <c r="E105" i="60"/>
  <c r="G105" i="60" s="1"/>
  <c r="E104" i="60"/>
  <c r="G104" i="60" s="1"/>
  <c r="E99" i="60"/>
  <c r="G99" i="60" s="1"/>
  <c r="E103" i="60"/>
  <c r="G103" i="60" s="1"/>
  <c r="E102" i="60"/>
  <c r="G102" i="60" s="1"/>
  <c r="E106" i="60"/>
  <c r="G106" i="60" s="1"/>
  <c r="E105" i="51"/>
  <c r="G105" i="51" s="1"/>
  <c r="E108" i="51"/>
  <c r="G108" i="51" s="1"/>
  <c r="E106" i="51"/>
  <c r="G106" i="51" s="1"/>
  <c r="E109" i="51"/>
  <c r="G109" i="51" s="1"/>
  <c r="E107" i="51"/>
  <c r="G107" i="51" s="1"/>
  <c r="E104" i="51"/>
  <c r="G104" i="51" s="1"/>
  <c r="E103" i="51"/>
  <c r="G103" i="51" s="1"/>
  <c r="G23" i="51"/>
  <c r="E24" i="51"/>
  <c r="G24" i="51" s="1"/>
  <c r="E91" i="69"/>
  <c r="G91" i="69" s="1"/>
  <c r="E93" i="69"/>
  <c r="G93" i="69" s="1"/>
  <c r="E97" i="69"/>
  <c r="G97" i="69" s="1"/>
  <c r="E96" i="69"/>
  <c r="G96" i="69" s="1"/>
  <c r="E92" i="69"/>
  <c r="G92" i="69" s="1"/>
  <c r="E95" i="69"/>
  <c r="G95" i="69" s="1"/>
  <c r="E94" i="69"/>
  <c r="G94" i="69" s="1"/>
  <c r="E104" i="43"/>
  <c r="G104" i="43" s="1"/>
  <c r="E105" i="43"/>
  <c r="G105" i="43" s="1"/>
  <c r="E111" i="43"/>
  <c r="G111" i="43" s="1"/>
  <c r="E110" i="43"/>
  <c r="G110" i="43" s="1"/>
  <c r="E109" i="43"/>
  <c r="G109" i="43" s="1"/>
  <c r="E107" i="43"/>
  <c r="G107" i="43" s="1"/>
  <c r="E106" i="43"/>
  <c r="G106" i="43" s="1"/>
  <c r="E108" i="43"/>
  <c r="G108" i="43" s="1"/>
  <c r="F210" i="43"/>
  <c r="G210" i="43" s="1"/>
  <c r="G211" i="43" s="1"/>
  <c r="G212" i="43" s="1"/>
  <c r="F56" i="69"/>
  <c r="G56" i="69" s="1"/>
  <c r="F55" i="69"/>
  <c r="G72" i="69"/>
  <c r="G74" i="69" s="1"/>
  <c r="F75" i="69" s="1"/>
  <c r="B73" i="69"/>
  <c r="B72" i="69"/>
  <c r="F15" i="69"/>
  <c r="F16" i="69"/>
  <c r="G16" i="69" s="1"/>
  <c r="G156" i="69"/>
  <c r="G157" i="69" s="1"/>
  <c r="F176" i="69"/>
  <c r="G176" i="69" s="1"/>
  <c r="G140" i="69"/>
  <c r="F31" i="69"/>
  <c r="F32" i="69"/>
  <c r="G32" i="69" s="1"/>
  <c r="B130" i="69"/>
  <c r="B53" i="69"/>
  <c r="B52" i="69"/>
  <c r="B127" i="53"/>
  <c r="G102" i="53"/>
  <c r="E118" i="43"/>
  <c r="G118" i="43" s="1"/>
  <c r="G111" i="53"/>
  <c r="G103" i="53"/>
  <c r="G100" i="53"/>
  <c r="G99" i="53"/>
  <c r="G104" i="53"/>
  <c r="G110" i="51"/>
  <c r="G101" i="53"/>
  <c r="G106" i="53"/>
  <c r="E116" i="60"/>
  <c r="G116" i="60" s="1"/>
  <c r="G110" i="53"/>
  <c r="C113" i="44"/>
  <c r="E57" i="75" s="1"/>
  <c r="G57" i="75" s="1"/>
  <c r="G58" i="75" s="1"/>
  <c r="F59" i="75" s="1"/>
  <c r="G116" i="53"/>
  <c r="E113" i="60"/>
  <c r="G113" i="60" s="1"/>
  <c r="E111" i="60"/>
  <c r="G111" i="60" s="1"/>
  <c r="E120" i="43"/>
  <c r="G120" i="43" s="1"/>
  <c r="G117" i="53"/>
  <c r="E91" i="53"/>
  <c r="G91" i="53" s="1"/>
  <c r="E112" i="60"/>
  <c r="G112" i="60" s="1"/>
  <c r="C114" i="44"/>
  <c r="G113" i="53"/>
  <c r="E117" i="60"/>
  <c r="G117" i="60" s="1"/>
  <c r="G114" i="53"/>
  <c r="E110" i="60"/>
  <c r="G110" i="60" s="1"/>
  <c r="E114" i="60"/>
  <c r="G114" i="60" s="1"/>
  <c r="G115" i="53"/>
  <c r="E89" i="53"/>
  <c r="G89" i="53" s="1"/>
  <c r="E93" i="53"/>
  <c r="G93" i="53" s="1"/>
  <c r="E117" i="43"/>
  <c r="G117" i="43" s="1"/>
  <c r="E90" i="53"/>
  <c r="G90" i="53" s="1"/>
  <c r="E92" i="53"/>
  <c r="G92" i="53" s="1"/>
  <c r="E115" i="43"/>
  <c r="G115" i="43" s="1"/>
  <c r="E121" i="43"/>
  <c r="G121" i="43" s="1"/>
  <c r="E116" i="43"/>
  <c r="G116" i="43" s="1"/>
  <c r="E115" i="51"/>
  <c r="G115" i="51" s="1"/>
  <c r="E94" i="53"/>
  <c r="G94" i="53" s="1"/>
  <c r="E119" i="43"/>
  <c r="G119" i="43" s="1"/>
  <c r="E117" i="51"/>
  <c r="G117" i="51" s="1"/>
  <c r="E119" i="51"/>
  <c r="G119" i="51" s="1"/>
  <c r="E118" i="51"/>
  <c r="G118" i="51" s="1"/>
  <c r="E116" i="51"/>
  <c r="G116" i="51" s="1"/>
  <c r="E120" i="51"/>
  <c r="G120" i="51" s="1"/>
  <c r="E121" i="51"/>
  <c r="G121" i="51" s="1"/>
  <c r="G137" i="53"/>
  <c r="G69" i="51"/>
  <c r="G71" i="51" s="1"/>
  <c r="F73" i="51" s="1"/>
  <c r="G73" i="51" s="1"/>
  <c r="G40" i="51"/>
  <c r="G51" i="60"/>
  <c r="G53" i="60" s="1"/>
  <c r="F55" i="60" s="1"/>
  <c r="G55" i="60" s="1"/>
  <c r="B69" i="51"/>
  <c r="B51" i="60"/>
  <c r="F16" i="51"/>
  <c r="G16" i="51" s="1"/>
  <c r="G17" i="51" s="1"/>
  <c r="F18" i="51" s="1"/>
  <c r="E93" i="51" a="1"/>
  <c r="E96" i="51" s="1"/>
  <c r="G96" i="51" s="1"/>
  <c r="G154" i="53"/>
  <c r="F35" i="43"/>
  <c r="G35" i="43" s="1"/>
  <c r="G34" i="43"/>
  <c r="F31" i="53"/>
  <c r="G31" i="53" s="1"/>
  <c r="G33" i="53" s="1"/>
  <c r="F55" i="53"/>
  <c r="G55" i="53" s="1"/>
  <c r="F71" i="60"/>
  <c r="B71" i="60" s="1"/>
  <c r="G156" i="51"/>
  <c r="F173" i="53"/>
  <c r="G173" i="53" s="1"/>
  <c r="G165" i="43"/>
  <c r="F31" i="51"/>
  <c r="F184" i="43"/>
  <c r="G184" i="43" s="1"/>
  <c r="F16" i="60"/>
  <c r="G16" i="60" s="1"/>
  <c r="G17" i="60" s="1"/>
  <c r="F18" i="60" s="1"/>
  <c r="B15" i="60"/>
  <c r="G171" i="60"/>
  <c r="F194" i="60"/>
  <c r="G194" i="60" s="1"/>
  <c r="F68" i="53"/>
  <c r="F15" i="53"/>
  <c r="G15" i="53" s="1"/>
  <c r="G17" i="53" s="1"/>
  <c r="F18" i="53" s="1"/>
  <c r="F177" i="51"/>
  <c r="G177" i="51" s="1"/>
  <c r="F31" i="60"/>
  <c r="G31" i="60" s="1"/>
  <c r="G33" i="60" s="1"/>
  <c r="F34" i="60" s="1"/>
  <c r="F159" i="60"/>
  <c r="G159" i="60" s="1"/>
  <c r="G135" i="60"/>
  <c r="G132" i="60"/>
  <c r="F157" i="60"/>
  <c r="G157" i="60" s="1"/>
  <c r="G131" i="60"/>
  <c r="F156" i="60"/>
  <c r="G156" i="60" s="1"/>
  <c r="E92" i="60"/>
  <c r="G92" i="60" s="1"/>
  <c r="E89" i="60"/>
  <c r="G89" i="60" s="1"/>
  <c r="E94" i="60"/>
  <c r="G94" i="60" s="1"/>
  <c r="E91" i="60"/>
  <c r="G91" i="60" s="1"/>
  <c r="E95" i="60"/>
  <c r="G95" i="60" s="1"/>
  <c r="E93" i="60"/>
  <c r="G93" i="60" s="1"/>
  <c r="E90" i="60"/>
  <c r="G90" i="60" s="1"/>
  <c r="G130" i="60"/>
  <c r="F150" i="51"/>
  <c r="G150" i="51" s="1"/>
  <c r="F157" i="43"/>
  <c r="G157" i="43" s="1"/>
  <c r="G137" i="43"/>
  <c r="F159" i="43"/>
  <c r="G159" i="43" s="1"/>
  <c r="G135" i="43"/>
  <c r="F155" i="43"/>
  <c r="G155" i="43" s="1"/>
  <c r="F158" i="60"/>
  <c r="G158" i="60" s="1"/>
  <c r="G133" i="60"/>
  <c r="F151" i="51"/>
  <c r="G151" i="51" s="1"/>
  <c r="E20" i="43"/>
  <c r="G154" i="60"/>
  <c r="B132" i="51"/>
  <c r="G132" i="51"/>
  <c r="F148" i="51"/>
  <c r="G148" i="51" s="1"/>
  <c r="F149" i="51"/>
  <c r="G149" i="51" s="1"/>
  <c r="E94" i="43" a="1"/>
  <c r="G174" i="43"/>
  <c r="G175" i="43" s="1"/>
  <c r="G145" i="53"/>
  <c r="G159" i="53"/>
  <c r="E161" i="53"/>
  <c r="G161" i="53" s="1"/>
  <c r="F54" i="51"/>
  <c r="G54" i="51" s="1"/>
  <c r="G167" i="51"/>
  <c r="G168" i="51" s="1"/>
  <c r="B15" i="51"/>
  <c r="B74" i="43"/>
  <c r="B73" i="43"/>
  <c r="G73" i="43"/>
  <c r="G75" i="43" s="1"/>
  <c r="B54" i="53"/>
  <c r="G54" i="53"/>
  <c r="F58" i="43"/>
  <c r="F59" i="43"/>
  <c r="G59" i="43" s="1"/>
  <c r="E18" i="53" l="1"/>
  <c r="G18" i="53" s="1"/>
  <c r="G19" i="53" s="1"/>
  <c r="F20" i="53" s="1"/>
  <c r="F21" i="75"/>
  <c r="G21" i="75" s="1"/>
  <c r="G25" i="75" s="1"/>
  <c r="E18" i="51"/>
  <c r="G18" i="51" s="1"/>
  <c r="G19" i="51" s="1"/>
  <c r="F20" i="51" s="1"/>
  <c r="E18" i="60"/>
  <c r="G18" i="60" s="1"/>
  <c r="G19" i="60" s="1"/>
  <c r="F20" i="60" s="1"/>
  <c r="B20" i="60" s="1"/>
  <c r="E18" i="69"/>
  <c r="B53" i="51"/>
  <c r="F18" i="43"/>
  <c r="G18" i="43" s="1"/>
  <c r="G55" i="51"/>
  <c r="F56" i="51" s="1"/>
  <c r="E34" i="51"/>
  <c r="F175" i="69"/>
  <c r="G175" i="69" s="1"/>
  <c r="G179" i="69" s="1"/>
  <c r="F159" i="69"/>
  <c r="G159" i="69" s="1"/>
  <c r="G153" i="69"/>
  <c r="G136" i="69"/>
  <c r="G141" i="69" s="1"/>
  <c r="E37" i="43"/>
  <c r="E34" i="60"/>
  <c r="G34" i="60" s="1"/>
  <c r="G35" i="60" s="1"/>
  <c r="E74" i="75"/>
  <c r="G74" i="75" s="1"/>
  <c r="G75" i="75" s="1"/>
  <c r="F76" i="75" s="1"/>
  <c r="E34" i="69"/>
  <c r="E34" i="75"/>
  <c r="G34" i="75" s="1"/>
  <c r="G35" i="75" s="1"/>
  <c r="G59" i="75"/>
  <c r="G63" i="75" s="1"/>
  <c r="B61" i="75"/>
  <c r="B60" i="75"/>
  <c r="B62" i="75"/>
  <c r="B59" i="75"/>
  <c r="B20" i="75"/>
  <c r="G96" i="75"/>
  <c r="G119" i="75" s="1"/>
  <c r="H216" i="75" s="1"/>
  <c r="E35" i="71"/>
  <c r="G35" i="71" s="1"/>
  <c r="G36" i="71" s="1"/>
  <c r="F37" i="71" s="1"/>
  <c r="G181" i="60"/>
  <c r="G182" i="60" s="1"/>
  <c r="F21" i="71"/>
  <c r="F22" i="71"/>
  <c r="G22" i="71" s="1"/>
  <c r="E58" i="69"/>
  <c r="G114" i="71"/>
  <c r="G117" i="71" s="1"/>
  <c r="F124" i="71"/>
  <c r="G124" i="71" s="1"/>
  <c r="G125" i="71" s="1"/>
  <c r="F141" i="71"/>
  <c r="G141" i="71" s="1"/>
  <c r="G146" i="71" s="1"/>
  <c r="G97" i="71"/>
  <c r="G102" i="71" s="1"/>
  <c r="G141" i="43"/>
  <c r="G146" i="43" s="1"/>
  <c r="E57" i="53"/>
  <c r="E79" i="43"/>
  <c r="E75" i="69"/>
  <c r="G75" i="69" s="1"/>
  <c r="G76" i="69" s="1"/>
  <c r="F77" i="69" s="1"/>
  <c r="B17" i="43"/>
  <c r="G136" i="51"/>
  <c r="G142" i="51" s="1"/>
  <c r="B32" i="51"/>
  <c r="G17" i="43"/>
  <c r="G161" i="43"/>
  <c r="B56" i="69"/>
  <c r="G31" i="69"/>
  <c r="G33" i="69" s="1"/>
  <c r="F34" i="69" s="1"/>
  <c r="B31" i="69"/>
  <c r="B32" i="69"/>
  <c r="G15" i="69"/>
  <c r="G17" i="69" s="1"/>
  <c r="F18" i="69" s="1"/>
  <c r="B16" i="69"/>
  <c r="B15" i="69"/>
  <c r="B55" i="69"/>
  <c r="G55" i="69"/>
  <c r="G57" i="69" s="1"/>
  <c r="F58" i="69" s="1"/>
  <c r="B75" i="69"/>
  <c r="G98" i="69"/>
  <c r="G121" i="69" s="1"/>
  <c r="H219" i="69" s="1"/>
  <c r="F167" i="43"/>
  <c r="G167" i="43" s="1"/>
  <c r="E74" i="53"/>
  <c r="E74" i="60"/>
  <c r="E75" i="51"/>
  <c r="E56" i="51"/>
  <c r="E57" i="60"/>
  <c r="E61" i="43"/>
  <c r="G107" i="53"/>
  <c r="G118" i="60"/>
  <c r="G112" i="43"/>
  <c r="G118" i="53"/>
  <c r="G107" i="60"/>
  <c r="G123" i="43"/>
  <c r="G96" i="53"/>
  <c r="G111" i="51"/>
  <c r="G122" i="51"/>
  <c r="E95" i="51"/>
  <c r="G95" i="51" s="1"/>
  <c r="E98" i="51"/>
  <c r="G98" i="51" s="1"/>
  <c r="E93" i="51"/>
  <c r="G93" i="51" s="1"/>
  <c r="E94" i="51"/>
  <c r="G94" i="51" s="1"/>
  <c r="F72" i="51"/>
  <c r="B72" i="51" s="1"/>
  <c r="E97" i="51"/>
  <c r="G97" i="51" s="1"/>
  <c r="E99" i="51"/>
  <c r="G99" i="51" s="1"/>
  <c r="F54" i="60"/>
  <c r="B55" i="60" s="1"/>
  <c r="B16" i="51"/>
  <c r="B18" i="60"/>
  <c r="B35" i="43"/>
  <c r="G36" i="43"/>
  <c r="F37" i="43" s="1"/>
  <c r="B37" i="43" s="1"/>
  <c r="B31" i="53"/>
  <c r="B32" i="53"/>
  <c r="B55" i="53"/>
  <c r="G56" i="53"/>
  <c r="F57" i="53" s="1"/>
  <c r="F183" i="43"/>
  <c r="G183" i="43" s="1"/>
  <c r="G188" i="43" s="1"/>
  <c r="B31" i="51"/>
  <c r="G71" i="60"/>
  <c r="G73" i="60" s="1"/>
  <c r="F74" i="60" s="1"/>
  <c r="B72" i="60"/>
  <c r="G31" i="51"/>
  <c r="G33" i="51" s="1"/>
  <c r="F34" i="51" s="1"/>
  <c r="B16" i="60"/>
  <c r="G68" i="53"/>
  <c r="G70" i="53" s="1"/>
  <c r="B68" i="53"/>
  <c r="B69" i="53"/>
  <c r="B15" i="53"/>
  <c r="B16" i="53"/>
  <c r="B32" i="60"/>
  <c r="B31" i="60"/>
  <c r="G142" i="60"/>
  <c r="G148" i="60" s="1"/>
  <c r="G133" i="53"/>
  <c r="G138" i="53" s="1"/>
  <c r="F156" i="53"/>
  <c r="G156" i="53" s="1"/>
  <c r="F172" i="53"/>
  <c r="G172" i="53" s="1"/>
  <c r="G176" i="53" s="1"/>
  <c r="G96" i="60"/>
  <c r="G166" i="60"/>
  <c r="G150" i="53"/>
  <c r="F173" i="60"/>
  <c r="G173" i="60" s="1"/>
  <c r="F193" i="60"/>
  <c r="G193" i="60" s="1"/>
  <c r="G198" i="60" s="1"/>
  <c r="G152" i="51"/>
  <c r="F176" i="51"/>
  <c r="G176" i="51" s="1"/>
  <c r="G180" i="51" s="1"/>
  <c r="F159" i="51"/>
  <c r="G159" i="51" s="1"/>
  <c r="G160" i="51" s="1"/>
  <c r="B18" i="51"/>
  <c r="E94" i="43"/>
  <c r="G94" i="43" s="1"/>
  <c r="E99" i="43"/>
  <c r="G99" i="43" s="1"/>
  <c r="E96" i="43"/>
  <c r="G96" i="43" s="1"/>
  <c r="E95" i="43"/>
  <c r="G95" i="43" s="1"/>
  <c r="E98" i="43"/>
  <c r="G98" i="43" s="1"/>
  <c r="E100" i="43"/>
  <c r="G100" i="43" s="1"/>
  <c r="E97" i="43"/>
  <c r="G97" i="43" s="1"/>
  <c r="B54" i="51"/>
  <c r="G163" i="53"/>
  <c r="G164" i="53" s="1"/>
  <c r="B18" i="53"/>
  <c r="F34" i="53"/>
  <c r="B34" i="60"/>
  <c r="G58" i="43"/>
  <c r="G60" i="43" s="1"/>
  <c r="F61" i="43" s="1"/>
  <c r="B58" i="43"/>
  <c r="B59" i="43"/>
  <c r="F77" i="43"/>
  <c r="G77" i="43" s="1"/>
  <c r="F76" i="43"/>
  <c r="B24" i="75" l="1"/>
  <c r="B22" i="75"/>
  <c r="B21" i="75"/>
  <c r="G18" i="69"/>
  <c r="G19" i="69" s="1"/>
  <c r="F21" i="69" s="1"/>
  <c r="G21" i="69" s="1"/>
  <c r="B23" i="75"/>
  <c r="B18" i="43"/>
  <c r="G19" i="43"/>
  <c r="F20" i="43" s="1"/>
  <c r="G34" i="51"/>
  <c r="G35" i="51" s="1"/>
  <c r="F37" i="51" s="1"/>
  <c r="G37" i="51" s="1"/>
  <c r="G205" i="69"/>
  <c r="H220" i="69" s="1"/>
  <c r="F36" i="75"/>
  <c r="F37" i="75"/>
  <c r="G37" i="75" s="1"/>
  <c r="B76" i="75"/>
  <c r="G76" i="75"/>
  <c r="G80" i="75" s="1"/>
  <c r="G81" i="75" s="1"/>
  <c r="B78" i="75"/>
  <c r="B79" i="75"/>
  <c r="B77" i="75"/>
  <c r="G34" i="69"/>
  <c r="G35" i="69" s="1"/>
  <c r="F37" i="69" s="1"/>
  <c r="G37" i="69" s="1"/>
  <c r="F38" i="71"/>
  <c r="G38" i="71" s="1"/>
  <c r="G37" i="71"/>
  <c r="B37" i="71"/>
  <c r="G21" i="71"/>
  <c r="G26" i="71" s="1"/>
  <c r="B25" i="71"/>
  <c r="B22" i="71"/>
  <c r="B23" i="71"/>
  <c r="B24" i="71"/>
  <c r="B21" i="71"/>
  <c r="G171" i="71"/>
  <c r="G185" i="71" s="1"/>
  <c r="G213" i="43"/>
  <c r="H228" i="43" s="1"/>
  <c r="G223" i="60"/>
  <c r="H229" i="60" s="1"/>
  <c r="G202" i="53"/>
  <c r="H217" i="53" s="1"/>
  <c r="G57" i="53"/>
  <c r="G58" i="53" s="1"/>
  <c r="F59" i="53" s="1"/>
  <c r="G59" i="53" s="1"/>
  <c r="G63" i="53" s="1"/>
  <c r="G77" i="69"/>
  <c r="G81" i="69" s="1"/>
  <c r="B79" i="69"/>
  <c r="B77" i="69"/>
  <c r="B80" i="69"/>
  <c r="B78" i="69"/>
  <c r="G205" i="51"/>
  <c r="G221" i="51" s="1"/>
  <c r="B34" i="69"/>
  <c r="B58" i="69"/>
  <c r="G58" i="69"/>
  <c r="G59" i="69" s="1"/>
  <c r="F60" i="69" s="1"/>
  <c r="G60" i="69" s="1"/>
  <c r="G64" i="69" s="1"/>
  <c r="B18" i="69"/>
  <c r="G61" i="43"/>
  <c r="G62" i="43" s="1"/>
  <c r="F63" i="43" s="1"/>
  <c r="G63" i="43" s="1"/>
  <c r="G67" i="43" s="1"/>
  <c r="G56" i="51"/>
  <c r="G57" i="51" s="1"/>
  <c r="F58" i="51" s="1"/>
  <c r="G58" i="51" s="1"/>
  <c r="G119" i="53"/>
  <c r="H216" i="53" s="1"/>
  <c r="G119" i="60"/>
  <c r="H228" i="60" s="1"/>
  <c r="G100" i="51"/>
  <c r="G124" i="51" s="1"/>
  <c r="G220" i="51" s="1"/>
  <c r="B54" i="60"/>
  <c r="G54" i="60"/>
  <c r="G56" i="60" s="1"/>
  <c r="F57" i="60" s="1"/>
  <c r="G57" i="60" s="1"/>
  <c r="G58" i="60" s="1"/>
  <c r="F59" i="60" s="1"/>
  <c r="G59" i="60" s="1"/>
  <c r="G63" i="60" s="1"/>
  <c r="B73" i="51"/>
  <c r="G72" i="51"/>
  <c r="G74" i="51" s="1"/>
  <c r="F75" i="51" s="1"/>
  <c r="G75" i="51" s="1"/>
  <c r="G76" i="51" s="1"/>
  <c r="F77" i="51" s="1"/>
  <c r="G77" i="51" s="1"/>
  <c r="G83" i="51" s="1"/>
  <c r="G37" i="43"/>
  <c r="G38" i="43" s="1"/>
  <c r="F40" i="43" s="1"/>
  <c r="G40" i="43" s="1"/>
  <c r="F21" i="60"/>
  <c r="G21" i="60" s="1"/>
  <c r="B57" i="53"/>
  <c r="B34" i="51"/>
  <c r="F72" i="53"/>
  <c r="G72" i="53" s="1"/>
  <c r="F71" i="53"/>
  <c r="F21" i="51"/>
  <c r="G21" i="51" s="1"/>
  <c r="F21" i="53"/>
  <c r="G21" i="53" s="1"/>
  <c r="G20" i="60"/>
  <c r="G101" i="43"/>
  <c r="G124" i="43" s="1"/>
  <c r="H227" i="43" s="1"/>
  <c r="B56" i="51"/>
  <c r="B61" i="43"/>
  <c r="G20" i="53"/>
  <c r="B20" i="53"/>
  <c r="G20" i="51"/>
  <c r="B20" i="51"/>
  <c r="F37" i="60"/>
  <c r="G37" i="60" s="1"/>
  <c r="F36" i="60"/>
  <c r="G76" i="43"/>
  <c r="G78" i="43" s="1"/>
  <c r="B77" i="43"/>
  <c r="B76" i="43"/>
  <c r="G74" i="60"/>
  <c r="G75" i="60" s="1"/>
  <c r="F76" i="60" s="1"/>
  <c r="G76" i="60" s="1"/>
  <c r="G80" i="60" s="1"/>
  <c r="B74" i="60"/>
  <c r="G34" i="53"/>
  <c r="G35" i="53" s="1"/>
  <c r="B34" i="53"/>
  <c r="F20" i="69" l="1"/>
  <c r="B23" i="69" s="1"/>
  <c r="F36" i="51"/>
  <c r="B40" i="51" s="1"/>
  <c r="G20" i="43"/>
  <c r="G21" i="43" s="1"/>
  <c r="B20" i="43"/>
  <c r="B40" i="71"/>
  <c r="F36" i="69"/>
  <c r="G36" i="69" s="1"/>
  <c r="G41" i="69" s="1"/>
  <c r="H215" i="75"/>
  <c r="B40" i="75"/>
  <c r="B38" i="75"/>
  <c r="G36" i="75"/>
  <c r="G41" i="75" s="1"/>
  <c r="G43" i="75" s="1"/>
  <c r="B39" i="75"/>
  <c r="B36" i="75"/>
  <c r="B37" i="75"/>
  <c r="B38" i="71"/>
  <c r="G42" i="71"/>
  <c r="B39" i="71"/>
  <c r="B41" i="71"/>
  <c r="G25" i="60"/>
  <c r="G25" i="53"/>
  <c r="B60" i="53"/>
  <c r="B59" i="53"/>
  <c r="B61" i="53"/>
  <c r="B62" i="53"/>
  <c r="G82" i="69"/>
  <c r="H218" i="69" s="1"/>
  <c r="G25" i="51"/>
  <c r="B63" i="69"/>
  <c r="B62" i="69"/>
  <c r="B61" i="69"/>
  <c r="B60" i="69"/>
  <c r="B65" i="43"/>
  <c r="B59" i="51"/>
  <c r="B62" i="51"/>
  <c r="B64" i="43"/>
  <c r="B61" i="51"/>
  <c r="B63" i="51"/>
  <c r="B60" i="51"/>
  <c r="B58" i="51"/>
  <c r="G85" i="51"/>
  <c r="G219" i="51" s="1"/>
  <c r="B63" i="43"/>
  <c r="B66" i="43"/>
  <c r="B75" i="51"/>
  <c r="F39" i="43"/>
  <c r="B59" i="60"/>
  <c r="G81" i="60"/>
  <c r="H227" i="60" s="1"/>
  <c r="B61" i="60"/>
  <c r="B62" i="60"/>
  <c r="B57" i="60"/>
  <c r="B60" i="60"/>
  <c r="B22" i="60"/>
  <c r="B23" i="60"/>
  <c r="B21" i="60"/>
  <c r="B24" i="60"/>
  <c r="B24" i="51"/>
  <c r="B21" i="51"/>
  <c r="B23" i="51"/>
  <c r="B22" i="51"/>
  <c r="B71" i="53"/>
  <c r="G71" i="53"/>
  <c r="G73" i="53" s="1"/>
  <c r="F74" i="53" s="1"/>
  <c r="B74" i="53" s="1"/>
  <c r="B72" i="53"/>
  <c r="B21" i="53"/>
  <c r="B24" i="53"/>
  <c r="B23" i="53"/>
  <c r="B22" i="53"/>
  <c r="B76" i="60"/>
  <c r="B77" i="60"/>
  <c r="B79" i="60"/>
  <c r="B78" i="60"/>
  <c r="B77" i="51"/>
  <c r="B80" i="51"/>
  <c r="B82" i="51"/>
  <c r="B81" i="51"/>
  <c r="G36" i="60"/>
  <c r="G41" i="60" s="1"/>
  <c r="B38" i="60"/>
  <c r="B40" i="60"/>
  <c r="B39" i="60"/>
  <c r="B36" i="60"/>
  <c r="B37" i="60"/>
  <c r="F37" i="53"/>
  <c r="G37" i="53" s="1"/>
  <c r="F36" i="53"/>
  <c r="F79" i="43"/>
  <c r="B78" i="51"/>
  <c r="B79" i="51"/>
  <c r="G20" i="69" l="1"/>
  <c r="G25" i="69" s="1"/>
  <c r="G43" i="69" s="1"/>
  <c r="B24" i="69"/>
  <c r="B20" i="69"/>
  <c r="B21" i="69"/>
  <c r="B22" i="69"/>
  <c r="B39" i="51"/>
  <c r="B37" i="51"/>
  <c r="B38" i="51"/>
  <c r="B36" i="51"/>
  <c r="G36" i="51"/>
  <c r="G41" i="51" s="1"/>
  <c r="G43" i="51" s="1"/>
  <c r="F23" i="43"/>
  <c r="G23" i="43" s="1"/>
  <c r="F22" i="43"/>
  <c r="G43" i="60"/>
  <c r="B36" i="69"/>
  <c r="B40" i="69"/>
  <c r="B37" i="69"/>
  <c r="B38" i="69"/>
  <c r="B39" i="69"/>
  <c r="G187" i="71"/>
  <c r="B42" i="43"/>
  <c r="B43" i="43"/>
  <c r="B39" i="43"/>
  <c r="B41" i="43"/>
  <c r="B40" i="43"/>
  <c r="G39" i="43"/>
  <c r="G44" i="43" s="1"/>
  <c r="G74" i="53"/>
  <c r="G75" i="53" s="1"/>
  <c r="F76" i="53" s="1"/>
  <c r="G76" i="53" s="1"/>
  <c r="G79" i="43"/>
  <c r="G80" i="43" s="1"/>
  <c r="F81" i="43" s="1"/>
  <c r="G81" i="43" s="1"/>
  <c r="B79" i="43"/>
  <c r="G36" i="53"/>
  <c r="G41" i="53" s="1"/>
  <c r="G43" i="53" s="1"/>
  <c r="B38" i="53"/>
  <c r="B37" i="53"/>
  <c r="B40" i="53"/>
  <c r="B36" i="53"/>
  <c r="B39" i="53"/>
  <c r="B23" i="43" l="1"/>
  <c r="B24" i="43"/>
  <c r="B26" i="43"/>
  <c r="B25" i="43"/>
  <c r="G22" i="43"/>
  <c r="G27" i="43" s="1"/>
  <c r="G46" i="43" s="1"/>
  <c r="B22" i="43"/>
  <c r="H214" i="75"/>
  <c r="G121" i="75"/>
  <c r="G80" i="53"/>
  <c r="G81" i="53" s="1"/>
  <c r="H215" i="53" s="1"/>
  <c r="H217" i="69"/>
  <c r="H222" i="69" s="1"/>
  <c r="G85" i="43"/>
  <c r="G86" i="43" s="1"/>
  <c r="H226" i="43" s="1"/>
  <c r="B77" i="53"/>
  <c r="B78" i="53"/>
  <c r="B79" i="53"/>
  <c r="B76" i="53"/>
  <c r="B81" i="43"/>
  <c r="B82" i="43"/>
  <c r="B84" i="43"/>
  <c r="B83" i="43"/>
  <c r="G126" i="51" l="1"/>
  <c r="G123" i="69"/>
  <c r="H214" i="53"/>
  <c r="H219" i="53" s="1"/>
  <c r="G121" i="53"/>
  <c r="E16" i="56" l="1"/>
  <c r="H226" i="60"/>
  <c r="H231" i="60" s="1"/>
  <c r="G121" i="60"/>
  <c r="G218" i="51"/>
  <c r="G223" i="51" s="1"/>
  <c r="G126" i="43" l="1"/>
  <c r="H225" i="43"/>
  <c r="H230" i="43" l="1"/>
  <c r="D18" i="56"/>
  <c r="E17" i="70" l="1"/>
  <c r="C17" i="73" s="1"/>
  <c r="D17" i="70"/>
  <c r="F193" i="71"/>
  <c r="F194" i="71" s="1"/>
  <c r="F209" i="71" s="1"/>
  <c r="F211" i="71" s="1"/>
  <c r="F237" i="60"/>
  <c r="F239" i="60" s="1"/>
  <c r="F254" i="60" s="1"/>
  <c r="F256" i="60" s="1"/>
  <c r="F225" i="53"/>
  <c r="F226" i="53" s="1"/>
  <c r="F241" i="53" s="1"/>
  <c r="F228" i="69"/>
  <c r="F230" i="69" s="1"/>
  <c r="F229" i="51"/>
  <c r="F231" i="51" s="1"/>
  <c r="F246" i="51" s="1"/>
  <c r="F248" i="51" s="1"/>
  <c r="F245" i="69" l="1"/>
  <c r="F251" i="69" s="1"/>
  <c r="E15" i="70" s="1"/>
  <c r="C15" i="73" s="1"/>
  <c r="E13" i="70"/>
  <c r="C13" i="73" s="1"/>
  <c r="F213" i="71"/>
  <c r="E12" i="70" s="1"/>
  <c r="F248" i="53"/>
  <c r="F250" i="51"/>
  <c r="F258" i="60"/>
  <c r="F236" i="43"/>
  <c r="F237" i="43" s="1"/>
  <c r="F252" i="43" l="1"/>
  <c r="F254" i="43" s="1"/>
  <c r="F253" i="69"/>
  <c r="D15" i="70" s="1"/>
  <c r="E10" i="70"/>
  <c r="C10" i="73" s="1"/>
  <c r="F250" i="53"/>
  <c r="C12" i="73"/>
  <c r="D13" i="70"/>
  <c r="E14" i="70"/>
  <c r="C14" i="73" s="1"/>
  <c r="E11" i="70" l="1"/>
  <c r="C11" i="73" s="1"/>
  <c r="F256" i="43"/>
  <c r="D11" i="70" s="1"/>
  <c r="D14" i="70"/>
  <c r="E127" i="75"/>
  <c r="G127" i="75" s="1"/>
  <c r="G133" i="75" s="1"/>
  <c r="G138" i="75" s="1"/>
  <c r="E208" i="75"/>
  <c r="G208" i="75" s="1"/>
  <c r="E159" i="75" l="1"/>
  <c r="E209" i="75"/>
  <c r="G209" i="75" s="1"/>
  <c r="G210" i="75" s="1"/>
  <c r="G211" i="75" s="1"/>
  <c r="H218" i="75" s="1"/>
  <c r="F144" i="75"/>
  <c r="E161" i="75" l="1"/>
  <c r="G161" i="75" s="1"/>
  <c r="G159" i="75"/>
  <c r="F172" i="75"/>
  <c r="G172" i="75" s="1"/>
  <c r="G176" i="75" s="1"/>
  <c r="F156" i="75"/>
  <c r="G156" i="75" s="1"/>
  <c r="G144" i="75"/>
  <c r="G150" i="75" s="1"/>
  <c r="G163" i="75" l="1"/>
  <c r="G164" i="75" s="1"/>
  <c r="G202" i="75" s="1"/>
  <c r="H217" i="75" s="1"/>
  <c r="H219" i="75" s="1"/>
  <c r="F227" i="75" s="1"/>
  <c r="F242" i="75" l="1"/>
  <c r="F248" i="75" s="1"/>
  <c r="E16" i="70" l="1"/>
  <c r="F250" i="75"/>
  <c r="D16" i="70" s="1"/>
  <c r="E18" i="70" l="1"/>
  <c r="C16" i="73"/>
  <c r="C9" i="73" s="1"/>
  <c r="C19" i="73" s="1"/>
  <c r="E22" i="73" l="1"/>
  <c r="F22" i="73" s="1"/>
  <c r="G22" i="73" s="1"/>
  <c r="H22" i="73" s="1"/>
  <c r="I22" i="73" s="1"/>
  <c r="J22" i="73" s="1"/>
  <c r="K22" i="73" s="1"/>
  <c r="L22" i="73" s="1"/>
  <c r="M22" i="73" s="1"/>
  <c r="N22" i="73" s="1"/>
  <c r="O22" i="73" s="1"/>
  <c r="P22" i="73" s="1"/>
  <c r="E19" i="73"/>
  <c r="F19" i="73" s="1"/>
  <c r="G19" i="73" s="1"/>
  <c r="H19" i="73" s="1"/>
  <c r="I19" i="73" s="1"/>
  <c r="J19" i="73" s="1"/>
  <c r="K19" i="73" s="1"/>
  <c r="L19" i="73" s="1"/>
  <c r="M19" i="73" s="1"/>
  <c r="N19" i="73" s="1"/>
  <c r="O19" i="73" s="1"/>
  <c r="P19" i="73" s="1"/>
</calcChain>
</file>

<file path=xl/sharedStrings.xml><?xml version="1.0" encoding="utf-8"?>
<sst xmlns="http://schemas.openxmlformats.org/spreadsheetml/2006/main" count="4672" uniqueCount="997">
  <si>
    <t>Serviços</t>
  </si>
  <si>
    <t>%</t>
  </si>
  <si>
    <t>1.</t>
  </si>
  <si>
    <t>Km</t>
  </si>
  <si>
    <t>un.</t>
  </si>
  <si>
    <t>2.</t>
  </si>
  <si>
    <t>Dimensionamento da Frota e Equipamentos</t>
  </si>
  <si>
    <t>item</t>
  </si>
  <si>
    <t>Discriminação</t>
  </si>
  <si>
    <t>Unidade</t>
  </si>
  <si>
    <t>Quantidade</t>
  </si>
  <si>
    <t>R$ unitário</t>
  </si>
  <si>
    <t>R$ total</t>
  </si>
  <si>
    <t>Frota Operacional</t>
  </si>
  <si>
    <t>Frota auxiliar</t>
  </si>
  <si>
    <t xml:space="preserve">Utilitário leve </t>
  </si>
  <si>
    <t>Moto 125 CC</t>
  </si>
  <si>
    <t>3.</t>
  </si>
  <si>
    <t>Mão de Obra Direta</t>
  </si>
  <si>
    <t>Motorista diurno</t>
  </si>
  <si>
    <t>Horas normais</t>
  </si>
  <si>
    <t>hora</t>
  </si>
  <si>
    <t>Insalubridade</t>
  </si>
  <si>
    <t>Encargos sociais</t>
  </si>
  <si>
    <t>Número de motoristas</t>
  </si>
  <si>
    <t>homem</t>
  </si>
  <si>
    <t>Reserva técnica</t>
  </si>
  <si>
    <t>Vale transporte</t>
  </si>
  <si>
    <t>Número de motoristas - com reserva</t>
  </si>
  <si>
    <t>Vale alimentação</t>
  </si>
  <si>
    <t>Coletor diurno</t>
  </si>
  <si>
    <t>Número de coletores</t>
  </si>
  <si>
    <t>Número de coletores - com reserva</t>
  </si>
  <si>
    <t>Adicional noturno</t>
  </si>
  <si>
    <t>Total dos Custos com Mão de Obra Direta</t>
  </si>
  <si>
    <t>horas</t>
  </si>
  <si>
    <t>Sub-total</t>
  </si>
  <si>
    <t>Total dos Custos com Mão de Obra Indireta</t>
  </si>
  <si>
    <t>4.</t>
  </si>
  <si>
    <t>Custos Gerais</t>
  </si>
  <si>
    <t>Uniformes e Equipamentos de Proteção Individual</t>
  </si>
  <si>
    <t>Calça</t>
  </si>
  <si>
    <t>Camisa</t>
  </si>
  <si>
    <t>Calçado</t>
  </si>
  <si>
    <t>Colete fiscal</t>
  </si>
  <si>
    <t>Coletores</t>
  </si>
  <si>
    <t>Boné</t>
  </si>
  <si>
    <t>Luva</t>
  </si>
  <si>
    <t>5.</t>
  </si>
  <si>
    <t>Custos Operacionais da Frota</t>
  </si>
  <si>
    <t>Depreciação</t>
  </si>
  <si>
    <t>Depreciação da frota auxiliar</t>
  </si>
  <si>
    <t>Imposto, seguro e licencimento</t>
  </si>
  <si>
    <t xml:space="preserve">Consumo de combustível </t>
  </si>
  <si>
    <t>Preço óleo diesel</t>
  </si>
  <si>
    <t>Preço gasolina</t>
  </si>
  <si>
    <t>Consumo médio da frota auxiliar - moto</t>
  </si>
  <si>
    <t>Consumo médio da frota auxiliar - utilitário</t>
  </si>
  <si>
    <t>Frota operacional</t>
  </si>
  <si>
    <t>Pneus e câmaras</t>
  </si>
  <si>
    <t>Durabilidade estimada</t>
  </si>
  <si>
    <t xml:space="preserve">Quilometragem rodada pela frota operacional </t>
  </si>
  <si>
    <t>Câmara</t>
  </si>
  <si>
    <t>Protetor</t>
  </si>
  <si>
    <t>Recapagem</t>
  </si>
  <si>
    <t>Consertos</t>
  </si>
  <si>
    <t>Custo mensal  de rodagem para frota auxiliar</t>
  </si>
  <si>
    <t>Frota auxiliar (utilitário)</t>
  </si>
  <si>
    <t>Quilometragem rodada pela frota auxiliar</t>
  </si>
  <si>
    <t>Valor</t>
  </si>
  <si>
    <t xml:space="preserve">Moto 125 CC </t>
  </si>
  <si>
    <t>Dimensionamento da Frota</t>
  </si>
  <si>
    <t>Mão de Obra Indireta</t>
  </si>
  <si>
    <t>5.1.2</t>
  </si>
  <si>
    <t>1.4</t>
  </si>
  <si>
    <t>3.1.2</t>
  </si>
  <si>
    <t>Motocicleta 125 CC</t>
  </si>
  <si>
    <t>Contentores</t>
  </si>
  <si>
    <t>5.1.3</t>
  </si>
  <si>
    <t>Caminhão para coleta – operando em 1 turno</t>
  </si>
  <si>
    <t>Caminhão para coleta – reserva</t>
  </si>
  <si>
    <t>Caçamba compactadora - operando em 3 turnos</t>
  </si>
  <si>
    <t>Caçamba compactadora - operando em 1 turno</t>
  </si>
  <si>
    <t>Caçamba compactadora - reserva</t>
  </si>
  <si>
    <t>Conjunto impermeável</t>
  </si>
  <si>
    <t xml:space="preserve">IPVA do utilitário </t>
  </si>
  <si>
    <t xml:space="preserve">Pneu </t>
  </si>
  <si>
    <t>Encarregado</t>
  </si>
  <si>
    <t>1.1</t>
  </si>
  <si>
    <t>1.2</t>
  </si>
  <si>
    <t>1.3</t>
  </si>
  <si>
    <t>2.1</t>
  </si>
  <si>
    <t>2.1.1</t>
  </si>
  <si>
    <t>2.2</t>
  </si>
  <si>
    <t>4.2</t>
  </si>
  <si>
    <t>4.1</t>
  </si>
  <si>
    <t>5.1</t>
  </si>
  <si>
    <t>Motoristas e encarregados</t>
  </si>
  <si>
    <t>Fiscais</t>
  </si>
  <si>
    <t>5.1.1</t>
  </si>
  <si>
    <t>6.1</t>
  </si>
  <si>
    <t>Depreciação frota operacional</t>
  </si>
  <si>
    <t>R$/ano</t>
  </si>
  <si>
    <t>7.1</t>
  </si>
  <si>
    <t>8.1</t>
  </si>
  <si>
    <t>R$ /ano</t>
  </si>
  <si>
    <t>Furgão com carroceria revestida</t>
  </si>
  <si>
    <t>3.1.3</t>
  </si>
  <si>
    <t>3.1.1</t>
  </si>
  <si>
    <t>3.1</t>
  </si>
  <si>
    <t>Caçamba compactadora PP - operando em 2 turnos</t>
  </si>
  <si>
    <t>Caminhão PP para coleta - operando em 2 turnos</t>
  </si>
  <si>
    <t>Consumo médio dos caminhões da frota operacional</t>
  </si>
  <si>
    <t>Consumo médio do caminhão PP da frota operacional</t>
  </si>
  <si>
    <t>Capa de chuva coletor</t>
  </si>
  <si>
    <t xml:space="preserve">Calçado </t>
  </si>
  <si>
    <t>Óculos de sol</t>
  </si>
  <si>
    <t>Protetor solar</t>
  </si>
  <si>
    <t>Frota operacional - Caminhão compactador</t>
  </si>
  <si>
    <t>Remuneração capital investido</t>
  </si>
  <si>
    <t xml:space="preserve">Jogo de pneu </t>
  </si>
  <si>
    <t>Caminhão para coleta – operando em 2 turnos</t>
  </si>
  <si>
    <t>Caçamba compactadora - operando em 2 turnos</t>
  </si>
  <si>
    <t>IPVA caminhão coletor</t>
  </si>
  <si>
    <t>Óculos de proteção</t>
  </si>
  <si>
    <t>5.2</t>
  </si>
  <si>
    <t>5.3</t>
  </si>
  <si>
    <t>5.4</t>
  </si>
  <si>
    <t>5.5</t>
  </si>
  <si>
    <t>5.6</t>
  </si>
  <si>
    <t>5.7</t>
  </si>
  <si>
    <t>Reserva técnica (rateio com a coleta rural)</t>
  </si>
  <si>
    <t xml:space="preserve">Modelo </t>
  </si>
  <si>
    <t>Tipo do veículo (Toco ou truck)</t>
  </si>
  <si>
    <t>Caminhão baú</t>
  </si>
  <si>
    <t>Média</t>
  </si>
  <si>
    <t>EPI</t>
  </si>
  <si>
    <t xml:space="preserve">Caminhão para coleta – operando em 3 turnos </t>
  </si>
  <si>
    <t>Caminhão</t>
  </si>
  <si>
    <t>Caçamba</t>
  </si>
  <si>
    <t>Moto</t>
  </si>
  <si>
    <t>Veículo utilitário</t>
  </si>
  <si>
    <t>Coleta Convencional Urb.</t>
  </si>
  <si>
    <t>Coleta Convencional Rural.</t>
  </si>
  <si>
    <t>Coleta Seletiva</t>
  </si>
  <si>
    <t>Colera de RSS</t>
  </si>
  <si>
    <t>Veículo Furgão</t>
  </si>
  <si>
    <t>Varrição</t>
  </si>
  <si>
    <t>Equipamentos</t>
  </si>
  <si>
    <t>Mão de obra</t>
  </si>
  <si>
    <t>Itens</t>
  </si>
  <si>
    <t xml:space="preserve">Dimensionamento </t>
  </si>
  <si>
    <t>Óculos incolor</t>
  </si>
  <si>
    <t>Salário Mínimo</t>
  </si>
  <si>
    <t>Salário / Benefícios</t>
  </si>
  <si>
    <t>Convenção Coletiva</t>
  </si>
  <si>
    <t xml:space="preserve">Referência </t>
  </si>
  <si>
    <t>Imposto / licencimento</t>
  </si>
  <si>
    <t>Capinadeira bobcat (similar)</t>
  </si>
  <si>
    <t>Varredora bobcat</t>
  </si>
  <si>
    <t>Caminhão basculante Cabine Simples com capacidade mínima de 02 toneladas</t>
  </si>
  <si>
    <t>Soprador de folhas costal a gasolina</t>
  </si>
  <si>
    <t>Roçadeira costal/lateral a gasolina</t>
  </si>
  <si>
    <t>Podador de altura a gasolina</t>
  </si>
  <si>
    <t>Veículo pick up</t>
  </si>
  <si>
    <t>Van 16 Lugares</t>
  </si>
  <si>
    <t>Fiscal de operação</t>
  </si>
  <si>
    <t>Cotação</t>
  </si>
  <si>
    <t xml:space="preserve">Preço (R$) </t>
  </si>
  <si>
    <t>Adicional Noturno</t>
  </si>
  <si>
    <t>Encargos Sociais</t>
  </si>
  <si>
    <t>Depreciação
(nº de meses)</t>
  </si>
  <si>
    <t>Quilometragem percorrida 
(km)</t>
  </si>
  <si>
    <t>Capacidade
(m³)</t>
  </si>
  <si>
    <t>Consumo médio</t>
  </si>
  <si>
    <t>Durabilidade estimada
(km)</t>
  </si>
  <si>
    <t>Durabilidade estimada pneu dianteiro
(km)</t>
  </si>
  <si>
    <t>Durabilidade estimada pneu traseiro
(km)</t>
  </si>
  <si>
    <t>Jogo de pneu dianteiro e câmara 
(un)</t>
  </si>
  <si>
    <t>Jogo de pneu traseiro e câmara
(un)</t>
  </si>
  <si>
    <t xml:space="preserve">Jogo de pneu
(un) </t>
  </si>
  <si>
    <t>Idade
(anos)</t>
  </si>
  <si>
    <t>Pneu  
(un)</t>
  </si>
  <si>
    <t>Câmara
(un)</t>
  </si>
  <si>
    <t>Protetor
(un)</t>
  </si>
  <si>
    <t>Recapagem
(un)</t>
  </si>
  <si>
    <t>Consertos
(un)</t>
  </si>
  <si>
    <t>Número de Turnos que Opera</t>
  </si>
  <si>
    <t xml:space="preserve">Quantidade de Veículos/Equi. </t>
  </si>
  <si>
    <t>Código</t>
  </si>
  <si>
    <t>Descrição</t>
  </si>
  <si>
    <t>A1</t>
  </si>
  <si>
    <t>INSS</t>
  </si>
  <si>
    <t>A2</t>
  </si>
  <si>
    <t>SESI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</si>
  <si>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</si>
  <si>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</si>
  <si>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</si>
  <si>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</si>
  <si>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</si>
  <si>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</si>
  <si>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</si>
  <si>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</si>
  <si>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</si>
  <si>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</si>
  <si>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</si>
  <si>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</si>
  <si>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</t>
  </si>
  <si>
    <t>SOMA GRUPO A</t>
  </si>
  <si>
    <t>B1</t>
  </si>
  <si>
    <t>Repouso Semanal Remunerado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</si>
  <si>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</si>
  <si>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</si>
  <si>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</si>
  <si>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</si>
  <si>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</si>
  <si>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</si>
  <si>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</si>
  <si>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</si>
  <si>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</si>
  <si>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</si>
  <si>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</si>
  <si>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</si>
  <si>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</si>
  <si>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</si>
  <si>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</si>
  <si>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</si>
  <si>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</si>
  <si>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</si>
  <si>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B</t>
  </si>
  <si>
    <t>SOMA GRUPO B</t>
  </si>
  <si>
    <t>C1</t>
  </si>
  <si>
    <t>Aviso prévio indenizado</t>
  </si>
  <si>
    <t>C2</t>
  </si>
  <si>
    <t>Aviso prévio trabalhado</t>
  </si>
  <si>
    <t>C3</t>
  </si>
  <si>
    <t xml:space="preserve">Férias indenizadas </t>
  </si>
  <si>
    <t>C4</t>
  </si>
  <si>
    <t>Depósito rescisão sem justa causa</t>
  </si>
  <si>
    <t>C5</t>
  </si>
  <si>
    <t>Indenização adicional</t>
  </si>
  <si>
    <t>C</t>
  </si>
  <si>
    <t>SOMA GRUPO C</t>
  </si>
  <si>
    <t>D1</t>
  </si>
  <si>
    <t>Reincidência de Grupo A sobre Grupo B</t>
  </si>
  <si>
    <t>D2</t>
  </si>
  <si>
    <t>Reincidência de FGTS sobre aviso prévio indenizado</t>
  </si>
  <si>
    <t>D</t>
  </si>
  <si>
    <t>SOMA GRUPO D</t>
  </si>
  <si>
    <t>SOMA (A+B+C+D)</t>
  </si>
  <si>
    <t xml:space="preserve">Composição dos Encargos Sociais </t>
  </si>
  <si>
    <t>Mensalista</t>
  </si>
  <si>
    <t>Horas Trabalhadas</t>
  </si>
  <si>
    <t>Dias Trabalhados</t>
  </si>
  <si>
    <t>Hora Extra 50%</t>
  </si>
  <si>
    <t>Hora Extra 100%</t>
  </si>
  <si>
    <t>Vale Transporte</t>
  </si>
  <si>
    <t>Motorista Diurno</t>
  </si>
  <si>
    <t>Motorista Noturno</t>
  </si>
  <si>
    <t>Coletor Diurno</t>
  </si>
  <si>
    <t>Coletor Noturno</t>
  </si>
  <si>
    <t>Fiscal de Operação</t>
  </si>
  <si>
    <t>Número de Equipes</t>
  </si>
  <si>
    <t>Cargo</t>
  </si>
  <si>
    <t>Coleta Urbano Diurno Turno 1</t>
  </si>
  <si>
    <t>Coleta Urbano Diurno Turno 2</t>
  </si>
  <si>
    <t>Coleta Urbano Noturno Turno 3</t>
  </si>
  <si>
    <t>Coleta Seletiva
Diurno Turno 1</t>
  </si>
  <si>
    <t xml:space="preserve"> Coleta Seletiva
Diurno Turno 2</t>
  </si>
  <si>
    <t>Quantidade de Vale Transporte no Mês</t>
  </si>
  <si>
    <t>Dias Trabalhados no Mês</t>
  </si>
  <si>
    <t>Horas Trabalhadas no Mês</t>
  </si>
  <si>
    <t>Percentual de Encargos Sociais no Mês</t>
  </si>
  <si>
    <t>9.1</t>
  </si>
  <si>
    <t>Vale Alimentação</t>
  </si>
  <si>
    <t>10.1</t>
  </si>
  <si>
    <t>Reserva técnica
Diurno Urbano</t>
  </si>
  <si>
    <t>Encarregado de Operação</t>
  </si>
  <si>
    <t>Coleta Urbano</t>
  </si>
  <si>
    <t xml:space="preserve">Encarregado de operação </t>
  </si>
  <si>
    <t>Quantidade de Vale Alimentação no Mês</t>
  </si>
  <si>
    <t xml:space="preserve">Encarregado de Operação </t>
  </si>
  <si>
    <t xml:space="preserve">Fiscal de operação </t>
  </si>
  <si>
    <t>Número de horas</t>
  </si>
  <si>
    <t xml:space="preserve"> Total Motorista diurno</t>
  </si>
  <si>
    <t xml:space="preserve"> Total Coletor diurno</t>
  </si>
  <si>
    <t xml:space="preserve"> Total Encarregado de Operação </t>
  </si>
  <si>
    <t xml:space="preserve"> Total Fiscal de Operação </t>
  </si>
  <si>
    <t>Domingos e Feriados</t>
  </si>
  <si>
    <t>3.1.1.1</t>
  </si>
  <si>
    <t>3.1.2.1</t>
  </si>
  <si>
    <t>3.1.3.1</t>
  </si>
  <si>
    <t>Total com Custos Gerais</t>
  </si>
  <si>
    <t>EPIs</t>
  </si>
  <si>
    <t>Número de meses</t>
  </si>
  <si>
    <t>Quantidade por ano</t>
  </si>
  <si>
    <t>Quantidade por mês</t>
  </si>
  <si>
    <t>Dispositivo para coleta mecanizada (conteinerizada).</t>
  </si>
  <si>
    <t>Veículo de apoio tipo picape.</t>
  </si>
  <si>
    <t>Veículo de apoio tipo picape, para suporte na distribuição de sacos verdes.</t>
  </si>
  <si>
    <t>Motocicleta cilindrada mínima 125 cc.</t>
  </si>
  <si>
    <t>Fota Operacional</t>
  </si>
  <si>
    <t>Dispositivo para coleta mecanizada (conteinerizada) - Reserva</t>
  </si>
  <si>
    <t>Motocicleta cilindrada mínima 125 cc reserva</t>
  </si>
  <si>
    <t>Dispositivo para coleta mecanizada (conteinerizada)</t>
  </si>
  <si>
    <t>Caminhão (80% em 48 meses) 02 turnos</t>
  </si>
  <si>
    <t xml:space="preserve">Caminhão (80% em 60 meses) reserva </t>
  </si>
  <si>
    <t xml:space="preserve">Compactador (80% em 48 meses) 02 turno </t>
  </si>
  <si>
    <t>Compactador (80% em 60 meses) reserva</t>
  </si>
  <si>
    <t>Total da Frota e Equipamentos</t>
  </si>
  <si>
    <t>Dispositivo para coleta mecanizada (conteinerizada) em 3 turnos</t>
  </si>
  <si>
    <t>litros</t>
  </si>
  <si>
    <t>5.5.1</t>
  </si>
  <si>
    <t>5.5.2</t>
  </si>
  <si>
    <t>5.5.3</t>
  </si>
  <si>
    <t>5.5.4</t>
  </si>
  <si>
    <t>5.4.1</t>
  </si>
  <si>
    <t>5.4.2</t>
  </si>
  <si>
    <t>5.4.3</t>
  </si>
  <si>
    <t>5.4.4</t>
  </si>
  <si>
    <t>5.4.5</t>
  </si>
  <si>
    <t>5.6.1</t>
  </si>
  <si>
    <t>5.6.2</t>
  </si>
  <si>
    <t>Caminhões da frota operacional</t>
  </si>
  <si>
    <t>Caminhão PP da frota operacional</t>
  </si>
  <si>
    <t>Frota auxiliar - utilitário</t>
  </si>
  <si>
    <t>Frota auxiliar - moto</t>
  </si>
  <si>
    <t>Consumo médio (km/l)</t>
  </si>
  <si>
    <t>Durabilidade Estimada (km)</t>
  </si>
  <si>
    <t>Durabilidade Estimada pneu traseiro (km)</t>
  </si>
  <si>
    <t>Durabilidade Estimada pneu dianteiro (km)</t>
  </si>
  <si>
    <t>Veículos</t>
  </si>
  <si>
    <t>Pneu (un.)</t>
  </si>
  <si>
    <t>Câmara (un.)</t>
  </si>
  <si>
    <t>Protetor (un.)</t>
  </si>
  <si>
    <t>Recapagem (un.)</t>
  </si>
  <si>
    <t>Consertos (un.)</t>
  </si>
  <si>
    <t>Pneu dianteiro (un.)</t>
  </si>
  <si>
    <t>Pneu traseiro (un.)</t>
  </si>
  <si>
    <t>5.7.1</t>
  </si>
  <si>
    <t>5.7.2</t>
  </si>
  <si>
    <t>5.7.3</t>
  </si>
  <si>
    <t>5.7.1.1</t>
  </si>
  <si>
    <t>5.7.1.2</t>
  </si>
  <si>
    <t>5.7.1.3</t>
  </si>
  <si>
    <t>5.7.1.4</t>
  </si>
  <si>
    <t>5.7.1.5</t>
  </si>
  <si>
    <t>5.7.1.6</t>
  </si>
  <si>
    <t>5.7.1.7</t>
  </si>
  <si>
    <t>5.7.2.1</t>
  </si>
  <si>
    <t>5.7.2.2</t>
  </si>
  <si>
    <t>5.7.2.3</t>
  </si>
  <si>
    <t xml:space="preserve">Sub Total </t>
  </si>
  <si>
    <t>Sub Total</t>
  </si>
  <si>
    <t>11.1</t>
  </si>
  <si>
    <t>11.1.1</t>
  </si>
  <si>
    <t>11.1.2</t>
  </si>
  <si>
    <t>11.1.3</t>
  </si>
  <si>
    <t>11.2</t>
  </si>
  <si>
    <t>11.2.1</t>
  </si>
  <si>
    <t>Frota Auxiliar</t>
  </si>
  <si>
    <t>5.1.4</t>
  </si>
  <si>
    <t>5.1.7</t>
  </si>
  <si>
    <t>5.1.6</t>
  </si>
  <si>
    <t>5.1.5</t>
  </si>
  <si>
    <t>5.1.8</t>
  </si>
  <si>
    <t>5.1.9</t>
  </si>
  <si>
    <t>5.1.10</t>
  </si>
  <si>
    <t>5.2.1</t>
  </si>
  <si>
    <t>5.2.2</t>
  </si>
  <si>
    <t>Sub-total mês</t>
  </si>
  <si>
    <t>Caminhão Operacional</t>
  </si>
  <si>
    <t>3.1.1.2</t>
  </si>
  <si>
    <t>3.1.1.3</t>
  </si>
  <si>
    <t>3.1.1.4</t>
  </si>
  <si>
    <t>3.1.1.5</t>
  </si>
  <si>
    <t>3.1.1.6</t>
  </si>
  <si>
    <t>3.1.1.7</t>
  </si>
  <si>
    <t>3.1.2.2</t>
  </si>
  <si>
    <t>3.1.2.3</t>
  </si>
  <si>
    <t>3.1.2.4</t>
  </si>
  <si>
    <t>3.1.2.5</t>
  </si>
  <si>
    <t>3.1.2.6</t>
  </si>
  <si>
    <t>3.1.2.7</t>
  </si>
  <si>
    <t>3.1.2.8</t>
  </si>
  <si>
    <t>3.1.3.2</t>
  </si>
  <si>
    <t>3.1.3.3</t>
  </si>
  <si>
    <t>3.1.3.4</t>
  </si>
  <si>
    <t>3.1.3.5</t>
  </si>
  <si>
    <t>3.1.3.6</t>
  </si>
  <si>
    <t>3.1.3.7</t>
  </si>
  <si>
    <t>3.1.3.8</t>
  </si>
  <si>
    <t>5.7.3.1</t>
  </si>
  <si>
    <t>5.7.3.2</t>
  </si>
  <si>
    <t>5.7.3.3</t>
  </si>
  <si>
    <t>Número de encarregado</t>
  </si>
  <si>
    <t>Número de Encarregados</t>
  </si>
  <si>
    <t>Número de Fiscais</t>
  </si>
  <si>
    <t>Mari.</t>
  </si>
  <si>
    <t>DIMENSIONAMENTO DA FROTA</t>
  </si>
  <si>
    <t xml:space="preserve">CAPACIDADE DE CARGA </t>
  </si>
  <si>
    <t>CAMINHÃO COMPACTADOR 17 M3</t>
  </si>
  <si>
    <t>ÍNDICE DE COMPACTAÇÃO DOS RESÍDUOS</t>
  </si>
  <si>
    <t xml:space="preserve">VOLUME DE OCUPAÇÃO </t>
  </si>
  <si>
    <t>PESO ESPECÍFICO DOS RESÍDUOS</t>
  </si>
  <si>
    <t>CAPACIDADE DE CARGA POR VIAGEM</t>
  </si>
  <si>
    <t>TONELADAS</t>
  </si>
  <si>
    <t>KG/M3</t>
  </si>
  <si>
    <t>QUANTIDADE DIÁRIA DE RESÍDUOS</t>
  </si>
  <si>
    <t>COLETA CONVENCIONAL</t>
  </si>
  <si>
    <t>NUMERO DE VIAGENS</t>
  </si>
  <si>
    <t xml:space="preserve">NUMERO DE VIAGENS </t>
  </si>
  <si>
    <t>TEMPO DE COLETA</t>
  </si>
  <si>
    <t>TEMPO DE DESLOCAMENTO</t>
  </si>
  <si>
    <t>2 HORAS</t>
  </si>
  <si>
    <t>M3</t>
  </si>
  <si>
    <t>População total</t>
  </si>
  <si>
    <t>Geração de Resíduos</t>
  </si>
  <si>
    <t>ton/ano</t>
  </si>
  <si>
    <t>ton/dia</t>
  </si>
  <si>
    <t>Per capita</t>
  </si>
  <si>
    <t>DADOS DE ENTRADA</t>
  </si>
  <si>
    <t>Hab.</t>
  </si>
  <si>
    <t>IBGE 2022</t>
  </si>
  <si>
    <t>Edital SAMAE</t>
  </si>
  <si>
    <t>Domiculiar urbano, rural e coleta seletiva</t>
  </si>
  <si>
    <t>kg/há.dia</t>
  </si>
  <si>
    <t>Cálculo</t>
  </si>
  <si>
    <t>Item</t>
  </si>
  <si>
    <t>Referência</t>
  </si>
  <si>
    <t>Nf=(Qs/C*Nv)*Ff, onde:</t>
  </si>
  <si>
    <t>Ff = Fator frequência.</t>
  </si>
  <si>
    <t>Qs = Quantidade de resíduos diária a ser coletada em tonelada</t>
  </si>
  <si>
    <t>Nv = Número total de viagens realizadas por dia, por caminhão (somatório de viagens dos turnos em um dia);</t>
  </si>
  <si>
    <t>C = Capacidade efetiva do veículo de coleta, em tonelada;</t>
  </si>
  <si>
    <t>Estimado</t>
  </si>
  <si>
    <t>Nv = Número total de viagens realizadas por dia, por caminhão (somatório de viagens dos turnos em um dia)</t>
  </si>
  <si>
    <t>C = P * IC * V * 0,7</t>
  </si>
  <si>
    <t>7 = o número de dias da semana;</t>
  </si>
  <si>
    <t>Nc = o número de dias efetivamente coletados na semana.</t>
  </si>
  <si>
    <t>DIMENSIONAMENTO DA FROTA PARA CIDADES ATÉ 200.000 HABITANTES</t>
  </si>
  <si>
    <t xml:space="preserve"> ton/m³</t>
  </si>
  <si>
    <t>PROC-IBR-RSU 002/2017</t>
  </si>
  <si>
    <t>PROC-IBR-RSU 002/2018</t>
  </si>
  <si>
    <t>PROC-IBR-RSU 002/2019</t>
  </si>
  <si>
    <t>P = Peso específico aparente dos resíduos a serem coletados (ton/m³)</t>
  </si>
  <si>
    <t>IC = Índice de Compactação do equipamento</t>
  </si>
  <si>
    <t>m³</t>
  </si>
  <si>
    <t>dias</t>
  </si>
  <si>
    <t>-</t>
  </si>
  <si>
    <t>SAMAE</t>
  </si>
  <si>
    <t>Capacidade efetiva do veículo de coleta (ton):</t>
  </si>
  <si>
    <t>V = Volume nominal do reservatório de carga, em m³.</t>
  </si>
  <si>
    <t>C = Capacidade efetiva do veículo de coleta (ton):</t>
  </si>
  <si>
    <t>NF = Quantidade total de veículos necessária (un):</t>
  </si>
  <si>
    <t>Ff = Fator de frequência:</t>
  </si>
  <si>
    <t>Ff = 7 / Nc, onde:</t>
  </si>
  <si>
    <t>DIMENSIONAMENTO DA FROTA PARA CIDADES ACIMA DE 200.000 HABITANTES</t>
  </si>
  <si>
    <t>Ns = número de roteiros necessários por setor de coleta</t>
  </si>
  <si>
    <t>Ns = 1/J * {(L/Vc) + 2 * (Dg/Vt) + 2 * [(Dd/Vt) * (Q/C)]}, onde:</t>
  </si>
  <si>
    <t xml:space="preserve">Ns = número de roteiros necessários por setor de coleta; </t>
  </si>
  <si>
    <t xml:space="preserve">J = Duração útil da jornada de trabalho da equipe (em número de horas, desde a saída da garagem até o seu retorno, excluindo intervalo para refeições e outros tempos improdutivos); </t>
  </si>
  <si>
    <t>L = Extensão total das vias (ruas e avenidas) do setor de coleta, em km;</t>
  </si>
  <si>
    <t xml:space="preserve">Dg = Distância entre a garagem e o centro geométrico do setor de coleta, em km; </t>
  </si>
  <si>
    <t xml:space="preserve">Vt = Velocidade média do veículo fora do percurso de coleta, em km/h; </t>
  </si>
  <si>
    <t xml:space="preserve">Dd = Distância entre o centro geométrico do setor de coleta e o ponto de descarga, em km; </t>
  </si>
  <si>
    <t>Q = Quantidade total de resíduos a ser coletada por dia no setor, em tonelada. C = Capacidade efetiva do veículo de coleta, em tonelada.</t>
  </si>
  <si>
    <t xml:space="preserve">Vc = Velocidade média de coleta, em km/h; </t>
  </si>
  <si>
    <t>km</t>
  </si>
  <si>
    <t xml:space="preserve">Q = Quantidade total de resíduos a ser coletada por dia no setor, em tonelada. </t>
  </si>
  <si>
    <t>IC = Índice de Compactação do equipamento - compactadores</t>
  </si>
  <si>
    <t>IC = Índice de Compactação do equipamento - caçamba</t>
  </si>
  <si>
    <t>V = Volume nominal do reservatório de carga</t>
  </si>
  <si>
    <t>Nc = Número de dias efetivamente coletados na semana</t>
  </si>
  <si>
    <t>Número de viagens?</t>
  </si>
  <si>
    <t>DIMENSIONAMENTO DA EQUIPE</t>
  </si>
  <si>
    <t>Roteiro de coleta – distância de coleta efetuada por um único veículo coletor em um período/turno de trabalho, contemplando a saída e o retorno à garagem, estabelecido de forma a minimizar percurso improdutivo, podendo ser realizado em uma ou mais viagens;</t>
  </si>
  <si>
    <t xml:space="preserve">Rendimento diário coletor </t>
  </si>
  <si>
    <t>ton/gari.dia</t>
  </si>
  <si>
    <t>Quantidade de resíduos coletados por um caminhão em um turno de trabalho / rendimento diário do coletor</t>
  </si>
  <si>
    <t>Número de coletores necessários por caminhão por turno de trabalho</t>
  </si>
  <si>
    <t>Composição da equipe de coleta:</t>
  </si>
  <si>
    <t>res</t>
  </si>
  <si>
    <t>cap</t>
  </si>
  <si>
    <t>Coleta diária</t>
  </si>
  <si>
    <t>Coleta alternada</t>
  </si>
  <si>
    <t xml:space="preserve">Número de habitantes por residência </t>
  </si>
  <si>
    <t>IBGE 2023</t>
  </si>
  <si>
    <t>Hab./Res.</t>
  </si>
  <si>
    <t>Rural</t>
  </si>
  <si>
    <t xml:space="preserve">Urbano </t>
  </si>
  <si>
    <t>Seletiva</t>
  </si>
  <si>
    <t>Caminhão Accelo 815 - zero</t>
  </si>
  <si>
    <t>Caminhão Accelo 815 - 2021</t>
  </si>
  <si>
    <t>FIPE</t>
  </si>
  <si>
    <t>Grimaldi</t>
  </si>
  <si>
    <t>Usimeca</t>
  </si>
  <si>
    <t>Dispositivo hidráulico com braços</t>
  </si>
  <si>
    <t>Contêiner modelo 6014R - 20,16m³</t>
  </si>
  <si>
    <t xml:space="preserve">coef. </t>
  </si>
  <si>
    <t>Número de economias residenciais</t>
  </si>
  <si>
    <t>kg/dia</t>
  </si>
  <si>
    <t>unidades</t>
  </si>
  <si>
    <t>Total</t>
  </si>
  <si>
    <t xml:space="preserve">População </t>
  </si>
  <si>
    <t>Per capita (KG/hab.dia)</t>
  </si>
  <si>
    <t>Imavi</t>
  </si>
  <si>
    <t>1m³</t>
  </si>
  <si>
    <t>Caçamba Coletora Compactadora19m4</t>
  </si>
  <si>
    <t>Contêiner modelo 6018R - 25,92m³ / Conteiner TP 6018R DF. 26m³</t>
  </si>
  <si>
    <t>26m³</t>
  </si>
  <si>
    <t>20m³</t>
  </si>
  <si>
    <t>15m³</t>
  </si>
  <si>
    <t>zero km</t>
  </si>
  <si>
    <t>ano 2021</t>
  </si>
  <si>
    <t>Caminhão para caçamba baú</t>
  </si>
  <si>
    <t>Caçamba Compactadora</t>
  </si>
  <si>
    <t>Coleta Mecanizada</t>
  </si>
  <si>
    <t>DESCRIÇÃO</t>
  </si>
  <si>
    <t>VEÍCULO / EQUIPAMENTO</t>
  </si>
  <si>
    <t>Container</t>
  </si>
  <si>
    <t>TRANSBORDO</t>
  </si>
  <si>
    <t>COLETA SELETIVA</t>
  </si>
  <si>
    <t>FROTA AUXILIAR</t>
  </si>
  <si>
    <t>Contêiner ou lixeira, verde, de plástico virgem com rodas de 8, 1000 L</t>
  </si>
  <si>
    <t>PREÇO ADOTADO (R$)</t>
  </si>
  <si>
    <t>PROC-IBR-RSU 002/2018 - 600 kg/m³</t>
  </si>
  <si>
    <t>Caminhão para caçamba coletora de pequeno porte com capacidade mínima de 6 m³, para locais de difícil acesso - Operando em 2 turnos</t>
  </si>
  <si>
    <t>Containers 1 m³</t>
  </si>
  <si>
    <t>Caçamba compactadora de 15m³ - operando em 3 turnos</t>
  </si>
  <si>
    <t>Caçamba compactadora de 15m³- operando em 2 turnos</t>
  </si>
  <si>
    <t>Caçamba compactadora PP de 6m³ - operando em 2 turnos</t>
  </si>
  <si>
    <t>5.7.5</t>
  </si>
  <si>
    <t>5.7.5.1</t>
  </si>
  <si>
    <t>Resumo</t>
  </si>
  <si>
    <t>Total dos Custos Diretos</t>
  </si>
  <si>
    <t>Total dos Custos Operacionais da Frota</t>
  </si>
  <si>
    <t>7.</t>
  </si>
  <si>
    <t>Custos Indiretos</t>
  </si>
  <si>
    <t>Despesas administrativas</t>
  </si>
  <si>
    <t>Total de Custos Indiretos</t>
  </si>
  <si>
    <t>8.</t>
  </si>
  <si>
    <t>Bonificações e Despesas Indiretas (BDI)</t>
  </si>
  <si>
    <t>Administração Central (AC)</t>
  </si>
  <si>
    <t>8.2</t>
  </si>
  <si>
    <t>Despesas Financeiras (DF)</t>
  </si>
  <si>
    <t>8.3</t>
  </si>
  <si>
    <t>Seguros, Riscos e Garantias (S)</t>
  </si>
  <si>
    <t>8.4</t>
  </si>
  <si>
    <t>8.5</t>
  </si>
  <si>
    <t>8.6</t>
  </si>
  <si>
    <t>Riscos (obras simples) (R)</t>
  </si>
  <si>
    <t>8.7</t>
  </si>
  <si>
    <t>Tributos (I)</t>
  </si>
  <si>
    <t>8.8</t>
  </si>
  <si>
    <t>ISS</t>
  </si>
  <si>
    <t>8.9</t>
  </si>
  <si>
    <t>PIS</t>
  </si>
  <si>
    <t>8.10</t>
  </si>
  <si>
    <t>COFINS</t>
  </si>
  <si>
    <t>8.11</t>
  </si>
  <si>
    <t>Lucro (L)</t>
  </si>
  <si>
    <t>BDI ADOTADO</t>
  </si>
  <si>
    <t>Total de bonificações e despesas indiretas (BDI)</t>
  </si>
  <si>
    <t>Total Geral Mensal</t>
  </si>
  <si>
    <t>Quantidade de Resíduos a Coletar (t / mês)</t>
  </si>
  <si>
    <t>Preço Unitário (R$ / t)</t>
  </si>
  <si>
    <t>Total dos Custos Diretos e Indiretos</t>
  </si>
  <si>
    <t>Seguros + Garantia (G)</t>
  </si>
  <si>
    <t>Licenciam. do utilitário</t>
  </si>
  <si>
    <t>Total Custo mensal  tota</t>
  </si>
  <si>
    <t>TOTAL</t>
  </si>
  <si>
    <t>Caçamba Coletora Compactadora 15m³</t>
  </si>
  <si>
    <t>Dispositivo para coleta mecanizada (conteinerizada) em 2 turnos</t>
  </si>
  <si>
    <t>Motoristas e encarregados Convencional Urbana</t>
  </si>
  <si>
    <t>Motoristas e encarregados Convencional Rural</t>
  </si>
  <si>
    <t>Total/mês Convencional Urbana</t>
  </si>
  <si>
    <t>Total/mês Convencional Rural</t>
  </si>
  <si>
    <t>Fiscais Convencional Urbana</t>
  </si>
  <si>
    <t>Fiscais Convencional Rural</t>
  </si>
  <si>
    <t>Coletores Convencional Urbana</t>
  </si>
  <si>
    <t>Coletores Convencional Rural</t>
  </si>
  <si>
    <t>Quilometragem percorrida no mês (km) Conv. Urbana</t>
  </si>
  <si>
    <t>Motoristas e encarregados Coleta Seletiva</t>
  </si>
  <si>
    <t>Total/mês Coleta Seletiva</t>
  </si>
  <si>
    <t>Fiscais Coleta Seletiva</t>
  </si>
  <si>
    <t>Coletores Coleta Seletiva</t>
  </si>
  <si>
    <t>Quilometragem percorrida no mês (km) Coleta Seletiva</t>
  </si>
  <si>
    <t>Coleta Seletiva  Norturno  Turno 3</t>
  </si>
  <si>
    <t>Reserva técnica
Diurno Seletivo</t>
  </si>
  <si>
    <t>5.1.11</t>
  </si>
  <si>
    <t>5.1.12</t>
  </si>
  <si>
    <t>11.1.4</t>
  </si>
  <si>
    <t>Preço Unitário (R$ / equipe)</t>
  </si>
  <si>
    <t>Reserva técnica
Diurno</t>
  </si>
  <si>
    <t>Transbordo</t>
  </si>
  <si>
    <t>Total/mês Transbordo</t>
  </si>
  <si>
    <t>Fiscais Transbordo</t>
  </si>
  <si>
    <t>Coletores Transbordo</t>
  </si>
  <si>
    <t>Quilometragem percorrida no mês (km) Transbordo</t>
  </si>
  <si>
    <t>Diurno Turno 2</t>
  </si>
  <si>
    <t>Licenciam. do caminhão roll on roll off</t>
  </si>
  <si>
    <t>IPVA caminhão Roll on roll off</t>
  </si>
  <si>
    <t>5.5.5</t>
  </si>
  <si>
    <t>Consumo médio do caminhão roll on roll off</t>
  </si>
  <si>
    <t>Caminhões roll on roll off</t>
  </si>
  <si>
    <t>Frota operacional - Caminhão roll on roll off</t>
  </si>
  <si>
    <t>Preço Unitário (R$ / Ton)</t>
  </si>
  <si>
    <t>Licenciam. caminhão coletor</t>
  </si>
  <si>
    <t>Água, luz , telefone, internet  e correio</t>
  </si>
  <si>
    <t>Monitoramento</t>
  </si>
  <si>
    <t>Telefone celular  (gerente)</t>
  </si>
  <si>
    <t>1.5</t>
  </si>
  <si>
    <t>1.6</t>
  </si>
  <si>
    <t>1.7</t>
  </si>
  <si>
    <t>Celulares da frota</t>
  </si>
  <si>
    <t>Material de expediente e diversos</t>
  </si>
  <si>
    <t>Geração de (t/mês)</t>
  </si>
  <si>
    <t>A9</t>
  </si>
  <si>
    <t>SECONCI</t>
  </si>
  <si>
    <t>Total dos custos das Equipes de Coleta</t>
  </si>
  <si>
    <t>Óleos, filtros e lubrificantes</t>
  </si>
  <si>
    <t>Luva de vaqueta e raspa</t>
  </si>
  <si>
    <t>PLANILHA AUXILIAR DE COMPOSIÇÃO DE PREÇOS -DESPESAS ADMINISTRATIVAS LOCAIS</t>
  </si>
  <si>
    <t>Despesas</t>
  </si>
  <si>
    <t>Importados</t>
  </si>
  <si>
    <t>X-BRI</t>
  </si>
  <si>
    <t xml:space="preserve">Preço Médio: </t>
  </si>
  <si>
    <t>Preço (R$)</t>
  </si>
  <si>
    <t>ORÇAMENTO PNEUS, CÂMARAS, PROTETOR E RECAPAGEM</t>
  </si>
  <si>
    <t>Fipe</t>
  </si>
  <si>
    <t>Reajuste</t>
  </si>
  <si>
    <t>Dispositivo para coleta mecanizada (conteinerizada) - (80% em 60 meses)  Reserva</t>
  </si>
  <si>
    <t>Depreciação do utilitário (80% em 60 meses)</t>
  </si>
  <si>
    <t>Depreciação do utilitário (80% em 60 meses) distribuição de sacos verdes</t>
  </si>
  <si>
    <t xml:space="preserve">Depreciação do utilitário (80% em 60 meses) </t>
  </si>
  <si>
    <t>IPVA caminhão roll on roll off</t>
  </si>
  <si>
    <t xml:space="preserve">Seguro de vida e auxílio funeral </t>
  </si>
  <si>
    <t xml:space="preserve">Seguro de vida </t>
  </si>
  <si>
    <t>PLANILHA RESUMO</t>
  </si>
  <si>
    <t>SERVIÇOS</t>
  </si>
  <si>
    <t>PREÇO 
TOTAL (R$)</t>
  </si>
  <si>
    <t>Veículo de apoio</t>
  </si>
  <si>
    <t xml:space="preserve">Caçamba compactadora 15m³  </t>
  </si>
  <si>
    <t>Caminhão para caçamba coletora compactadora com capacidade de 15 m³</t>
  </si>
  <si>
    <t>Transporte DF</t>
  </si>
  <si>
    <t>Total/mês Transporte DF</t>
  </si>
  <si>
    <t>Coletores Transporte DF</t>
  </si>
  <si>
    <t>Motoristas e encarregados Transbordo</t>
  </si>
  <si>
    <t>Fiscais  Transporte DF</t>
  </si>
  <si>
    <t>Caminhão para caçamba coletora compactadora com capacidade mínima de 15 m³ -  Operando em 1 turno</t>
  </si>
  <si>
    <t>Caçamba compactadora de 15m³ - Operando em 1 turno</t>
  </si>
  <si>
    <t xml:space="preserve">Compactador (80% em 60 meses) 01 turno </t>
  </si>
  <si>
    <t>Caminhão (80% em 60 meses) 01 turnos</t>
  </si>
  <si>
    <t>Dispositivo para coleta mecanizada (conteinerizada) em 1 turnos</t>
  </si>
  <si>
    <t>Manutenção, peças, serviços e lavagens</t>
  </si>
  <si>
    <t>Contentor 1 m³</t>
  </si>
  <si>
    <t>Lavação complera  de caminhão</t>
  </si>
  <si>
    <t>Lavação complera  de contentores</t>
  </si>
  <si>
    <t xml:space="preserve">Caminhão para caçamba coletora compactadora com capacidade mínima de 15 m³ - Reserva </t>
  </si>
  <si>
    <t>Lavação frota operacional</t>
  </si>
  <si>
    <t>Lavação contentores</t>
  </si>
  <si>
    <t>Lavação frota reserva</t>
  </si>
  <si>
    <t>Lavação de contentor</t>
  </si>
  <si>
    <t>Lavação frota auxiliar utilitário</t>
  </si>
  <si>
    <t>Lavação frota auxiliar moto</t>
  </si>
  <si>
    <t>5.6.3</t>
  </si>
  <si>
    <t>5.6.4</t>
  </si>
  <si>
    <t>5.6.5</t>
  </si>
  <si>
    <t>Lavação Alternativa ltda (caminhões) - Tifa monos</t>
  </si>
  <si>
    <t xml:space="preserve">Caçamba compactadora de 15m³ - Reserva </t>
  </si>
  <si>
    <t>Despesas com pessoal (salários, encargos, benefícios)</t>
  </si>
  <si>
    <t xml:space="preserve">Reserva técnica </t>
  </si>
  <si>
    <t>Caminhão para caçamba coletora compactadora com capacidade mínima de 15 m³ - Operando em 3 turnos</t>
  </si>
  <si>
    <t>Caminhão para caçamba coletora compactadora com capacidade mínima de 15 m³ - Operando em 2 turnos</t>
  </si>
  <si>
    <t xml:space="preserve">Motorista </t>
  </si>
  <si>
    <t>Reserva Técnica</t>
  </si>
  <si>
    <t>6.</t>
  </si>
  <si>
    <t>Custos Diversos</t>
  </si>
  <si>
    <t>Custo com pesagem dos veículos coletores</t>
  </si>
  <si>
    <t>Implantação dos equipamentos de monitoramento</t>
  </si>
  <si>
    <t>mês</t>
  </si>
  <si>
    <t xml:space="preserve">Lavação frota auxiliar utilitário </t>
  </si>
  <si>
    <t>1.9</t>
  </si>
  <si>
    <t>1.10</t>
  </si>
  <si>
    <t>Equipamento de Proteção Individual/uniformes</t>
  </si>
  <si>
    <t>Combustível</t>
  </si>
  <si>
    <t>Veículos/Equipamentos</t>
  </si>
  <si>
    <t>2.3</t>
  </si>
  <si>
    <t>2.4</t>
  </si>
  <si>
    <t>2.5</t>
  </si>
  <si>
    <t>2.6</t>
  </si>
  <si>
    <t>2.7</t>
  </si>
  <si>
    <t>2.8</t>
  </si>
  <si>
    <t>3.2</t>
  </si>
  <si>
    <t>4.1.1</t>
  </si>
  <si>
    <t>4.1.3</t>
  </si>
  <si>
    <t>4.1.5</t>
  </si>
  <si>
    <t>4.3</t>
  </si>
  <si>
    <t>4.3.1</t>
  </si>
  <si>
    <t>4.3.2</t>
  </si>
  <si>
    <t>Manutenção, peças, serviços</t>
  </si>
  <si>
    <t>6.3</t>
  </si>
  <si>
    <t>6.1.1</t>
  </si>
  <si>
    <t>6.1.2</t>
  </si>
  <si>
    <t>6.1.3</t>
  </si>
  <si>
    <t>6.1.4</t>
  </si>
  <si>
    <t>6.1.5</t>
  </si>
  <si>
    <t>7.2</t>
  </si>
  <si>
    <t>7.3</t>
  </si>
  <si>
    <t>7.4</t>
  </si>
  <si>
    <t>9.</t>
  </si>
  <si>
    <t>9.2</t>
  </si>
  <si>
    <t>9.3</t>
  </si>
  <si>
    <t>9.4</t>
  </si>
  <si>
    <t>9.5</t>
  </si>
  <si>
    <t>9.6</t>
  </si>
  <si>
    <t>9.7</t>
  </si>
  <si>
    <t>9.8</t>
  </si>
  <si>
    <t>9.9</t>
  </si>
  <si>
    <t>9.10</t>
  </si>
  <si>
    <t>9.11</t>
  </si>
  <si>
    <t>Pesagem e Monitoramento</t>
  </si>
  <si>
    <t>Total dos Custos Diversos</t>
  </si>
  <si>
    <t>Total dos Custos Gerais (EPI)</t>
  </si>
  <si>
    <t xml:space="preserve">Total Custo mensal  </t>
  </si>
  <si>
    <t xml:space="preserve">Total Custo mensal </t>
  </si>
  <si>
    <t>Lavação e Pesagem</t>
  </si>
  <si>
    <t>Pesagem de veículos</t>
  </si>
  <si>
    <t>7.5</t>
  </si>
  <si>
    <t>Preço fornecido pela cooperativa</t>
  </si>
  <si>
    <t>Cotação no município</t>
  </si>
  <si>
    <t>Pesagem e monitoramento dos veículos</t>
  </si>
  <si>
    <t>Custo cooperativa municipal</t>
  </si>
  <si>
    <t>Pesagem dos veículos coletores</t>
  </si>
  <si>
    <t>Custo mensal do monitoramento (localização + bloqueio de combustível + identificação de motorista)</t>
  </si>
  <si>
    <t>Pesagem do caminhão compactador 15m³ (coleta convencional)</t>
  </si>
  <si>
    <t>Pesagem do caminhão compactador 15m³ (coleta seletiva)</t>
  </si>
  <si>
    <t>Serviços Gerais</t>
  </si>
  <si>
    <t>Motorista Diurno Limpeza Urbana</t>
  </si>
  <si>
    <t>Gari</t>
  </si>
  <si>
    <t xml:space="preserve">Encarregado Limpeza Urbana </t>
  </si>
  <si>
    <t>Coletor / Gari / Serviços Gerais</t>
  </si>
  <si>
    <t>Quilometragem percorrida no mês Limpeza Urbana (km)</t>
  </si>
  <si>
    <t>Caminhão Poliguindaste</t>
  </si>
  <si>
    <t>Protetor auricular</t>
  </si>
  <si>
    <t>Óculos de sol/incolor</t>
  </si>
  <si>
    <t>Protetor 
Facial</t>
  </si>
  <si>
    <t>Transbordo
 (R$)</t>
  </si>
  <si>
    <t>SERVIÇOS DIVERSOS</t>
  </si>
  <si>
    <t xml:space="preserve">Número de Equipes </t>
  </si>
  <si>
    <t>Coleta Convencional, seletiva, transbordo, transporte e destinação final</t>
  </si>
  <si>
    <t>Encarregados e Fiscais</t>
  </si>
  <si>
    <t>Equipamentos de Proteção Individual (EPI's)</t>
  </si>
  <si>
    <t>Seletiva
(un. )</t>
  </si>
  <si>
    <t>Transbordo
(un. )</t>
  </si>
  <si>
    <t>Frequência no mês</t>
  </si>
  <si>
    <t>Serviços Diversos</t>
  </si>
  <si>
    <t>Quilometragem percorrida / Pneus / Câmaras</t>
  </si>
  <si>
    <t>Total Custos Diversos</t>
  </si>
  <si>
    <t>Coleta Convencional Urbana e Rural</t>
  </si>
  <si>
    <t>Coleta convencional e seletiva</t>
  </si>
  <si>
    <t>Transporte Des. Final coleta Convencional
(un. )</t>
  </si>
  <si>
    <t>Transporte Des. Final coleta Seletiva
(un. )</t>
  </si>
  <si>
    <t>TRANSPORTE DESTINAÇÃO FINAL DA COLETA CONVENCIONAL</t>
  </si>
  <si>
    <t>TRANSPORTE DESTINAÇÃO FINAL COLETA SELETIVA</t>
  </si>
  <si>
    <t>Preço disposição final</t>
  </si>
  <si>
    <t>Preço disposição final de resíduos</t>
  </si>
  <si>
    <t>10.</t>
  </si>
  <si>
    <t>Disposição Final</t>
  </si>
  <si>
    <t>Transbordo 
(un. )</t>
  </si>
  <si>
    <t>Trans. Des. Final Coleta Convencional
(un. )</t>
  </si>
  <si>
    <t>Trans. Des. Final Coleta Seletiva 
(un. )</t>
  </si>
  <si>
    <t>Motoristas e encarregados Transporte DF Coleta Convencional</t>
  </si>
  <si>
    <t>Motoristas e encarregados Transporte DF Coleta Seletiva</t>
  </si>
  <si>
    <t>Total/mês Transporte DF CC</t>
  </si>
  <si>
    <t>Total/mês Transporte DF CS</t>
  </si>
  <si>
    <t>Quilometragem percorrida no mês (km) 
Trans. Des. Final Coleta Convencional</t>
  </si>
  <si>
    <t>Quilometragem percorrida no mês (km) 
Trans. Des. Final Coleta Seletiva</t>
  </si>
  <si>
    <t>ton.</t>
  </si>
  <si>
    <t>UN.</t>
  </si>
  <si>
    <t>QUANTIDADE</t>
  </si>
  <si>
    <t>Contentor 1 m³ (80% em 60 meses) 01 turno</t>
  </si>
  <si>
    <t>Licenciam. do caminhão coletar</t>
  </si>
  <si>
    <t>Compactador (80% em 48 meses) 02 turnos</t>
  </si>
  <si>
    <t>Caminhão (80% em 60 meses) 01 turno</t>
  </si>
  <si>
    <t>Dispositivo para coleta mecanizada (conteinerizada) (80% em 60 meses) 01 turno</t>
  </si>
  <si>
    <t>7.1.1</t>
  </si>
  <si>
    <t>7.1.2</t>
  </si>
  <si>
    <t>7.1.3</t>
  </si>
  <si>
    <t>7.1.4</t>
  </si>
  <si>
    <t>7.1.5</t>
  </si>
  <si>
    <t>Caminhão para Roll on Roll off reserva</t>
  </si>
  <si>
    <t>Equipamento Roll on Roll off operando 1 turno</t>
  </si>
  <si>
    <t>Equipamento Roll on Roll off reserva</t>
  </si>
  <si>
    <t>Transporte para destinação final</t>
  </si>
  <si>
    <t>Equipamento para Roll on Roll off</t>
  </si>
  <si>
    <t>Caminhão para Roll on Roll off</t>
  </si>
  <si>
    <t>TRANSPORTE PARA DESTINAÇÃO FINAL</t>
  </si>
  <si>
    <t xml:space="preserve">Disposição Final em Aterro Sanitário </t>
  </si>
  <si>
    <t>Custos com Destinação final em central de valorização</t>
  </si>
  <si>
    <t>Destinação final</t>
  </si>
  <si>
    <t>1.8</t>
  </si>
  <si>
    <t>4.1.2</t>
  </si>
  <si>
    <t>4.1.4</t>
  </si>
  <si>
    <t>4.3.3</t>
  </si>
  <si>
    <t>6.2</t>
  </si>
  <si>
    <t>6.2.1</t>
  </si>
  <si>
    <t>4.2.1</t>
  </si>
  <si>
    <t>4.2.2</t>
  </si>
  <si>
    <t>4.2.3</t>
  </si>
  <si>
    <t>6.4</t>
  </si>
  <si>
    <t>EQUIPE</t>
  </si>
  <si>
    <t>TON</t>
  </si>
  <si>
    <t>TRANSBORDO (*)</t>
  </si>
  <si>
    <t>PREÇO 
UNITÁRIO (R$)</t>
  </si>
  <si>
    <t>(*) Incluído resíduos coletados na coleta seletiva</t>
  </si>
  <si>
    <t>LOTE 1</t>
  </si>
  <si>
    <t>Distância admitida até aterro</t>
  </si>
  <si>
    <t>DESVALORIZAÇÃO</t>
  </si>
  <si>
    <t>VEÍCULO</t>
  </si>
  <si>
    <t xml:space="preserve"> COLETOR COMPACTADOR </t>
  </si>
  <si>
    <t>TOTAL LOTE 1</t>
  </si>
  <si>
    <t>Diurno Turno2</t>
  </si>
  <si>
    <t xml:space="preserve">OPÇÃO 1 - TRANSPORTE - ROLL ON ROLL OFF </t>
  </si>
  <si>
    <t>TRANSPORTE E DISPOSIÇÃO FINAL EM ATERRO SANITÁRIO</t>
  </si>
  <si>
    <t>TRANSPORTE E DESTINAÇÃO FINAL PARA VALORIZAÇÃO</t>
  </si>
  <si>
    <t>COLETA CONVENCIONAL URBANO SEDE E DISTRITOS</t>
  </si>
  <si>
    <t>SITE</t>
  </si>
  <si>
    <t>USIMECA</t>
  </si>
  <si>
    <t>PREÇO MÉDIO</t>
  </si>
  <si>
    <t>Urbana Sede e Distritos (un.)</t>
  </si>
  <si>
    <t>Urbana Mecanizada</t>
  </si>
  <si>
    <t>COLETA CONVENCIONAL URBANA SEDE E DISTRITOS</t>
  </si>
  <si>
    <t>COLETA MECANIZADA</t>
  </si>
  <si>
    <t>Contentor 1 m³ (80% em36 meses) 01 turno</t>
  </si>
  <si>
    <t>Quilometragem percorrida no mês (km) Coleta Mecanizada</t>
  </si>
  <si>
    <t>ADMINISTRATIVO</t>
  </si>
  <si>
    <t>Bonificações e Despesas Indiretas (BDI) - Coleta Convencional, Coleta Seletiva, Transbordo, Transporte e Destinação Final  (R$)</t>
  </si>
  <si>
    <t>TOTAL: BDI + Coleta Convencional, Coleta Seletiva, Transbordo, Transporte e Destinação Final  (R$)</t>
  </si>
  <si>
    <t>Deslocamentos com veíc. próprio ou locado</t>
  </si>
  <si>
    <t>COMPOSIÇÃO 5.1: PLANILHA DE COMPOSIÇÃO DE PREÇOS COLETA MECANIZADA</t>
  </si>
  <si>
    <t>COMPOSIÇÃO 06: PLANILHA DE COMPOSIÇÃO DE PREÇOS COLETA SELETIVA</t>
  </si>
  <si>
    <t>COMPOSIÇÃO 05: PLANILHA DE COMPOSIÇÃO DE PREÇOS COLETA CONVENCIONAL URBANA SEDE E DISTRITOS</t>
  </si>
  <si>
    <t>4.1 - Coleta Convencional, Coleta Seletiva, Transbordo, Transporte e Destinação Final  (R$)</t>
  </si>
  <si>
    <t>COMPOSIÇÃO 07: PLANILHA DE COMPOSIÇÃO DE PREÇOS TRANSBORDO</t>
  </si>
  <si>
    <t>COMPOSIÇÃO 08: PLANILHA DE COMPOSIÇÃO DE PREÇOS TRANSPORTE PARA DISPOSIÇÃO FINAL EM ATERRO SANITÁRIO</t>
  </si>
  <si>
    <t>COMPOSIÇÃO 09: PLANILHA DE COMPOSIÇÃO DE PREÇOS TRANSPORTE PARA DESTINAÇÃO FINAL EM CENTRAL DE VALORIZAÇÃO</t>
  </si>
  <si>
    <t>ADMINISTRATIVO (ADM. LOCAL)</t>
  </si>
  <si>
    <t>Local</t>
  </si>
  <si>
    <t>Responsável Técnico</t>
  </si>
  <si>
    <t>Data</t>
  </si>
  <si>
    <t>Locação do imóvel  (locação no município da prestação do serviço)</t>
  </si>
  <si>
    <t/>
  </si>
  <si>
    <t>Valor (R$)</t>
  </si>
  <si>
    <t>Parcelas:</t>
  </si>
  <si>
    <t>% Período:</t>
  </si>
  <si>
    <t>Acumulado:</t>
  </si>
  <si>
    <t>%:</t>
  </si>
  <si>
    <t xml:space="preserve">Total:   </t>
  </si>
  <si>
    <t>R$</t>
  </si>
  <si>
    <t>Vital Equipamentos</t>
  </si>
  <si>
    <t>Disapar Joaçaba</t>
  </si>
  <si>
    <t>Pneu veículo de Apoio</t>
  </si>
  <si>
    <t>PREÇO 2014</t>
  </si>
  <si>
    <t>Atego 1719 4x2 Coletor de Lixo  -  2014</t>
  </si>
  <si>
    <t>Atego 1719 4x2 Coletor de Lixo -  2014</t>
  </si>
  <si>
    <t>Piso Nacional</t>
  </si>
  <si>
    <t>CRONOGRAMA FÍSICO-FINANCEIRO</t>
  </si>
  <si>
    <t>VEÍCULO TRANSPORTE DESTINAÇÃO FINAL</t>
  </si>
  <si>
    <t>Frota operacional - Caminhão Atego 1719</t>
  </si>
  <si>
    <t>Consumo médio do caminhão Atego 1719</t>
  </si>
  <si>
    <t>Atego 2426 6x2 2p (diesel) (E5) - 2014</t>
  </si>
  <si>
    <t>Gr25 para caminhão truck ( Rollon ) / Equipto. Hidr. Mod. "GT-25" c/ Tr. 3º Eixo</t>
  </si>
  <si>
    <t>Rollon</t>
  </si>
  <si>
    <t>Equipamento</t>
  </si>
  <si>
    <t>Conteiner TP 6525R DF. +ChMist(1/4+3/8) 39 m³</t>
  </si>
  <si>
    <t>39m³</t>
  </si>
  <si>
    <t xml:space="preserve">Caminhão para Roll on Roll off </t>
  </si>
  <si>
    <t>Conteiner 39 m³ reserva</t>
  </si>
  <si>
    <t>Conteiner 39 m³</t>
  </si>
  <si>
    <t>IMAVI</t>
  </si>
  <si>
    <t>Goodyear Kmax S Gen 2</t>
  </si>
  <si>
    <t>Goodyear Kelly KS461</t>
  </si>
  <si>
    <t>Conteiner 39 m³ operando 1 turno</t>
  </si>
  <si>
    <t>Transporte Des. Final Volumosos
(un. )</t>
  </si>
  <si>
    <t>TRANSPORTE E DESTINAÇÃO FINAL RESÍDUOS VOLUMOSOS</t>
  </si>
  <si>
    <t>1.1.1.5</t>
  </si>
  <si>
    <t>11.1.6</t>
  </si>
  <si>
    <t>Caminhão Roll ON Roll OFF - VOL</t>
  </si>
  <si>
    <t>Caminhão Roll ON Roll OFF - DF</t>
  </si>
  <si>
    <t>Caminhão Roll ON Roll OFF - VAL.</t>
  </si>
  <si>
    <t>3.00</t>
  </si>
  <si>
    <t>Caminhão Compactador - Col. Conv.</t>
  </si>
  <si>
    <t>Caminhão Compactador - Col. Sel.</t>
  </si>
  <si>
    <t>Veículos/Km</t>
  </si>
  <si>
    <t>Veículos/Desgaste</t>
  </si>
  <si>
    <t>Veículos de Apoio</t>
  </si>
  <si>
    <t>TRANSPORTE DESTINAÇÃO FINAL DA COLETA VOLUMOSOS</t>
  </si>
  <si>
    <t>COMPOSIÇÃO 10: PLANILHA DE COMPOSIÇÃO DE PREÇOS TRANSPORTE PARA DESTINAÇÃO FINAL EM CENTRAL DE VALORIZAÇÃO DE RESÍDUOS VOLUMOSOS</t>
  </si>
  <si>
    <t>Geração de (M³/mês)</t>
  </si>
  <si>
    <t>Motorista Diurno Transpote DF e Valorização</t>
  </si>
  <si>
    <t>Motorista Diurno Transpote Volumosos</t>
  </si>
  <si>
    <t xml:space="preserve">Vale Refeição até 120 h </t>
  </si>
  <si>
    <t xml:space="preserve">Vale Refeição até 180 h </t>
  </si>
  <si>
    <t>2.9</t>
  </si>
  <si>
    <t>Colete Refletor</t>
  </si>
  <si>
    <t>Uma pesagem inicio de turno e uma final de turno</t>
  </si>
  <si>
    <t>Depreciação do utilitário (65% em 120 meses)</t>
  </si>
  <si>
    <t>Transporte Valorização</t>
  </si>
  <si>
    <t>Total Custo mensal</t>
  </si>
  <si>
    <t>PREÇO FIPE  2024</t>
  </si>
  <si>
    <t>ORÇAMENTO DE FROTA</t>
  </si>
  <si>
    <t>ORÇAMENTO DE EPI</t>
  </si>
  <si>
    <t>TDP</t>
  </si>
  <si>
    <t>1. Modelos Pneus</t>
  </si>
  <si>
    <t>1.1 Modelo de Pneu 275/80/R22.5</t>
  </si>
  <si>
    <t>2. Manutenção</t>
  </si>
  <si>
    <t xml:space="preserve">2.1 RECAPAGEM: </t>
  </si>
  <si>
    <t xml:space="preserve">2.2 CAMARA </t>
  </si>
  <si>
    <t xml:space="preserve">2.3 PROTETOR </t>
  </si>
  <si>
    <t xml:space="preserve"> R$ 620 á R$710,00 </t>
  </si>
  <si>
    <t>Luzerna/SC</t>
  </si>
  <si>
    <t>Nome: ELIZEO RENOSTO</t>
  </si>
  <si>
    <t>ART/RRT: 25 2024 9467978-7</t>
  </si>
  <si>
    <t>CREA/CAU: 153937-8-SC</t>
  </si>
  <si>
    <t>MODELAÇO</t>
  </si>
  <si>
    <t>PLANALTO</t>
  </si>
  <si>
    <t>BAZ</t>
  </si>
  <si>
    <t>1/173,38 *horas trabalhadas</t>
  </si>
  <si>
    <t>0,2307 (0,11535 Destinação Final + 0,11535 Destinação Valorização)</t>
  </si>
  <si>
    <t>8 horas /12 = 0,73 h mês</t>
  </si>
  <si>
    <t>p</t>
  </si>
  <si>
    <t>0,765 (0,2383  Coleta Seletiva + 0,526 Convencional)</t>
  </si>
  <si>
    <t>PREÇO UNITÁRIO</t>
  </si>
  <si>
    <t>2.1.1.1</t>
  </si>
  <si>
    <t>2.1.1.2</t>
  </si>
  <si>
    <t>2.1.1.3</t>
  </si>
  <si>
    <t>2.1.1.4</t>
  </si>
  <si>
    <t>2.1.1.5</t>
  </si>
  <si>
    <t>2.1.1.6</t>
  </si>
  <si>
    <t>2.1.1.7</t>
  </si>
  <si>
    <t>2.1.2</t>
  </si>
  <si>
    <t>2.1.2.1</t>
  </si>
  <si>
    <t>2.1.2.2</t>
  </si>
  <si>
    <t>2.1.2.3</t>
  </si>
  <si>
    <t>2.1.2.4</t>
  </si>
  <si>
    <t>2.1.2.5</t>
  </si>
  <si>
    <t>2.1.2.6</t>
  </si>
  <si>
    <t>2.1.2.7</t>
  </si>
  <si>
    <t>2.1.2.8</t>
  </si>
  <si>
    <t>2.1.3</t>
  </si>
  <si>
    <t>2.1.3.1</t>
  </si>
  <si>
    <t>2.1.3.2</t>
  </si>
  <si>
    <t>2.1.3.3</t>
  </si>
  <si>
    <t>2.1.3.4</t>
  </si>
  <si>
    <t>2.1.3.5</t>
  </si>
  <si>
    <t>2.1.3.6</t>
  </si>
  <si>
    <t>2.1.3.7</t>
  </si>
  <si>
    <t>2.1.3.8</t>
  </si>
  <si>
    <t>4.1.6</t>
  </si>
  <si>
    <t>4.1.7</t>
  </si>
  <si>
    <t>4.1.8</t>
  </si>
  <si>
    <t>4.1.9</t>
  </si>
  <si>
    <t>4.4</t>
  </si>
  <si>
    <t>4.4.1</t>
  </si>
  <si>
    <t>4.4.2</t>
  </si>
  <si>
    <t>4.4.3</t>
  </si>
  <si>
    <t>4.4.4</t>
  </si>
  <si>
    <t>4.5</t>
  </si>
  <si>
    <t>4.5.1</t>
  </si>
  <si>
    <t>4.5.2</t>
  </si>
  <si>
    <t>4.6</t>
  </si>
  <si>
    <t>4.6.1</t>
  </si>
  <si>
    <t>4.6.2</t>
  </si>
  <si>
    <t>4.6.3</t>
  </si>
  <si>
    <t>4.6.4</t>
  </si>
  <si>
    <t>4.6.5</t>
  </si>
  <si>
    <t>4.7</t>
  </si>
  <si>
    <t>4.7.1</t>
  </si>
  <si>
    <t>4.7.1.1</t>
  </si>
  <si>
    <t>4.7.1.2</t>
  </si>
  <si>
    <t>4.7.1.3</t>
  </si>
  <si>
    <t>4.7.1.4</t>
  </si>
  <si>
    <t>4.7.1.5</t>
  </si>
  <si>
    <t>4.7.1.6</t>
  </si>
  <si>
    <t>4.7.1.7</t>
  </si>
  <si>
    <t>4.7.3</t>
  </si>
  <si>
    <t>4.7.3.1</t>
  </si>
  <si>
    <t>4.7.2</t>
  </si>
  <si>
    <t>4.7.2.1</t>
  </si>
  <si>
    <t>4.7.2.2</t>
  </si>
  <si>
    <t>4.7.2.3</t>
  </si>
  <si>
    <t>PreveOeste (Site)</t>
  </si>
  <si>
    <t>Super EPI (Site)</t>
  </si>
  <si>
    <t xml:space="preserve">275/80R22.5 </t>
  </si>
  <si>
    <t>ARO 22.5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</si>
</sst>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&quot;R$ &quot;#,##0_);\(&quot;R$ &quot;#,##0\)"/>
    <numFmt numFmtId="166" formatCode="_(&quot;R$ &quot;* #,##0.00_);_(&quot;R$ &quot;* \(#,##0.00\);_(&quot;R$ &quot;* &quot;-&quot;??_);_(@_)"/>
    <numFmt numFmtId="167" formatCode="_(* #,##0.00_);_(* \(#,##0.00\);_(* \-??_);_(@_)"/>
    <numFmt numFmtId="168" formatCode="_(* #,##0.0_);_(* \(#,##0.0\);_(* \-??_);_(@_)"/>
    <numFmt numFmtId="169" formatCode="General\ "/>
    <numFmt numFmtId="170" formatCode="_(&quot;R$ &quot;* #,##0.00_);_(&quot;R$ &quot;* \(#,##0.00\);_(&quot;R$ &quot;* \-??_);_(@_)"/>
    <numFmt numFmtId="171" formatCode="&quot;R$&quot;\ #,##0.00"/>
    <numFmt numFmtId="172" formatCode="_(* #,##0.0000000_);_(* \(#,##0.0000000\);_(* \-??_);_(@_)"/>
    <numFmt numFmtId="173" formatCode="\-"/>
    <numFmt numFmtId="174" formatCode="#,##0_ ;\-#,##0\ "/>
    <numFmt numFmtId="175" formatCode="0.000"/>
    <numFmt numFmtId="176" formatCode="0.0"/>
    <numFmt numFmtId="177" formatCode="#,##0.0"/>
    <numFmt numFmtId="178" formatCode="_-* #,##0.00_-;\-* #,##0.00_-;_-* \-??_-;_-@_-"/>
    <numFmt numFmtId="179" formatCode="General;General"/>
    <numFmt numFmtId="180" formatCode="_-&quot;R$ &quot;* #,##0.00_-;&quot;-R$ &quot;* #,##0.00_-;_-&quot;R$ &quot;* \-??_-;_-@_-"/>
    <numFmt numFmtId="181" formatCode="[$-F800]dddd\,\ mmmm\ dd\,\ yyyy"/>
    <numFmt numFmtId="182" formatCode="_(\ #,##0.00_);_(&quot; (&quot;#,##0.00\);_(&quot; -&quot;??_);_(@_)"/>
    <numFmt numFmtId="183" formatCode="mm/yy"/>
  </numFmts>
  <fonts count="67" x14ac:knownFonts="1">
    <font>
      <sz val="10"/>
      <name val="Arial"/>
    </font>
    <font>
      <sz val="11"/>
      <color theme="1"/>
      <name val="Trebuchet MS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b/>
      <sz val="10"/>
      <name val="Arial"/>
      <family val="2"/>
    </font>
    <font>
      <u/>
      <sz val="7"/>
      <color indexed="12"/>
      <name val="Arial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i/>
      <sz val="8"/>
      <name val="Arial"/>
      <family val="2"/>
    </font>
    <font>
      <sz val="8"/>
      <name val="Arial"/>
      <family val="2"/>
    </font>
    <font>
      <b/>
      <sz val="11"/>
      <color theme="0"/>
      <name val="Trebuchet MS"/>
      <family val="2"/>
      <scheme val="minor"/>
    </font>
    <font>
      <b/>
      <sz val="14"/>
      <color theme="0"/>
      <name val="Times New Roman"/>
      <family val="1"/>
    </font>
    <font>
      <b/>
      <sz val="11"/>
      <color theme="0"/>
      <name val="Times New Roman"/>
      <family val="1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9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theme="0"/>
      <name val="Arial"/>
      <family val="2"/>
    </font>
    <font>
      <b/>
      <sz val="9"/>
      <name val="Arial"/>
      <family val="2"/>
    </font>
    <font>
      <sz val="10"/>
      <color rgb="FF00000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sz val="11"/>
      <color theme="0"/>
      <name val="Trebuchet MS"/>
      <family val="2"/>
      <scheme val="minor"/>
    </font>
    <font>
      <sz val="11"/>
      <name val="Trebuchet MS"/>
      <family val="2"/>
      <scheme val="minor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3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sz val="14"/>
      <color theme="0"/>
      <name val="Arial"/>
      <family val="2"/>
    </font>
    <font>
      <i/>
      <sz val="10"/>
      <name val="Arial"/>
      <family val="2"/>
    </font>
    <font>
      <b/>
      <sz val="11"/>
      <color rgb="FFFF0000"/>
      <name val="Arial"/>
      <family val="2"/>
    </font>
    <font>
      <u/>
      <sz val="11"/>
      <name val="Arial"/>
      <family val="2"/>
    </font>
    <font>
      <u/>
      <sz val="11"/>
      <color indexed="12"/>
      <name val="Arial"/>
      <family val="2"/>
    </font>
    <font>
      <sz val="11"/>
      <color theme="0"/>
      <name val="Arial"/>
      <family val="2"/>
    </font>
    <font>
      <sz val="11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1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b/>
      <sz val="9"/>
      <color theme="0" tint="-0.3499862666707357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42"/>
      </patternFill>
    </fill>
    <fill>
      <patternFill patternType="solid">
        <fgColor indexed="4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44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9"/>
        <bgColor indexed="41"/>
      </patternFill>
    </fill>
    <fill>
      <patternFill patternType="solid">
        <fgColor indexed="55"/>
        <bgColor indexed="46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6"/>
        <bgColor indexed="64"/>
      </patternFill>
    </fill>
    <fill>
      <patternFill patternType="solid">
        <fgColor rgb="FF92D050"/>
      </patternFill>
    </fill>
    <fill>
      <patternFill patternType="solid">
        <fgColor rgb="FF92D050"/>
        <bgColor indexed="41"/>
      </patternFill>
    </fill>
    <fill>
      <patternFill patternType="solid">
        <fgColor theme="6"/>
        <bgColor indexed="41"/>
      </patternFill>
    </fill>
  </fills>
  <borders count="97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/>
      <top style="thin">
        <color theme="4" tint="-0.499984740745262"/>
      </top>
      <bottom/>
      <diagonal/>
    </border>
    <border>
      <left/>
      <right style="thin">
        <color indexed="64"/>
      </right>
      <top style="thin">
        <color theme="4" tint="-0.499984740745262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4" tint="-0.499984740745262"/>
      </top>
      <bottom/>
      <diagonal/>
    </border>
    <border>
      <left/>
      <right style="medium">
        <color indexed="64"/>
      </right>
      <top style="thin">
        <color theme="4" tint="-0.499984740745262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07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166" fontId="4" fillId="0" borderId="0" applyFont="0" applyFill="0" applyBorder="0" applyAlignment="0" applyProtection="0"/>
    <xf numFmtId="170" fontId="4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4" fillId="0" borderId="0" applyFill="0" applyBorder="0" applyAlignment="0" applyProtection="0"/>
    <xf numFmtId="165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9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9" fontId="4" fillId="0" borderId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ill="0" applyBorder="0" applyAlignment="0" applyProtection="0"/>
    <xf numFmtId="169" fontId="4" fillId="0" borderId="0" applyFill="0" applyBorder="0" applyAlignment="0" applyProtection="0"/>
    <xf numFmtId="168" fontId="4" fillId="0" borderId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167" fontId="8" fillId="0" borderId="0" applyFill="0" applyBorder="0" applyAlignment="0" applyProtection="0"/>
    <xf numFmtId="167" fontId="4" fillId="0" borderId="0" applyFill="0" applyBorder="0" applyAlignment="0" applyProtection="0"/>
    <xf numFmtId="167" fontId="17" fillId="0" borderId="0" applyFill="0" applyBorder="0" applyAlignment="0" applyProtection="0"/>
    <xf numFmtId="0" fontId="2" fillId="0" borderId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0" fillId="17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1" fillId="13" borderId="0" applyNumberFormat="0" applyBorder="0" applyAlignment="0" applyProtection="0"/>
    <xf numFmtId="0" fontId="22" fillId="22" borderId="70" applyNumberFormat="0" applyAlignment="0" applyProtection="0"/>
    <xf numFmtId="0" fontId="23" fillId="23" borderId="71" applyNumberFormat="0" applyAlignment="0" applyProtection="0"/>
    <xf numFmtId="0" fontId="24" fillId="0" borderId="72" applyNumberFormat="0" applyFill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3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1" borderId="0" applyNumberFormat="0" applyBorder="0" applyAlignment="0" applyProtection="0"/>
    <xf numFmtId="0" fontId="25" fillId="14" borderId="70" applyNumberFormat="0" applyAlignment="0" applyProtection="0"/>
    <xf numFmtId="0" fontId="36" fillId="0" borderId="0" applyNumberFormat="0" applyFill="0" applyBorder="0" applyAlignment="0" applyProtection="0"/>
    <xf numFmtId="180" fontId="2" fillId="0" borderId="0" applyFill="0" applyBorder="0" applyAlignment="0" applyProtection="0"/>
    <xf numFmtId="0" fontId="2" fillId="0" borderId="0"/>
    <xf numFmtId="0" fontId="19" fillId="0" borderId="0"/>
    <xf numFmtId="0" fontId="26" fillId="0" borderId="0"/>
    <xf numFmtId="0" fontId="2" fillId="16" borderId="73" applyNumberFormat="0" applyAlignment="0" applyProtection="0"/>
    <xf numFmtId="9" fontId="2" fillId="0" borderId="0" applyFill="0" applyBorder="0" applyAlignment="0" applyProtection="0"/>
    <xf numFmtId="0" fontId="27" fillId="22" borderId="74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75" applyNumberFormat="0" applyFill="0" applyAlignment="0" applyProtection="0"/>
    <xf numFmtId="0" fontId="32" fillId="0" borderId="76" applyNumberFormat="0" applyFill="0" applyAlignment="0" applyProtection="0"/>
    <xf numFmtId="0" fontId="33" fillId="0" borderId="77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0" fillId="0" borderId="78" applyNumberFormat="0" applyFill="0" applyAlignment="0" applyProtection="0"/>
    <xf numFmtId="167" fontId="2" fillId="0" borderId="0" applyFill="0" applyBorder="0" applyAlignment="0" applyProtection="0"/>
    <xf numFmtId="178" fontId="2" fillId="0" borderId="0" applyFill="0" applyBorder="0" applyAlignment="0" applyProtection="0"/>
    <xf numFmtId="44" fontId="37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2" fillId="0" borderId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ill="0" applyBorder="0" applyAlignment="0" applyProtection="0"/>
    <xf numFmtId="165" fontId="2" fillId="0" borderId="0" applyFill="0" applyBorder="0" applyAlignment="0" applyProtection="0"/>
    <xf numFmtId="165" fontId="2" fillId="0" borderId="0" applyFill="0" applyBorder="0" applyAlignment="0" applyProtection="0"/>
    <xf numFmtId="0" fontId="2" fillId="0" borderId="0" applyFill="0" applyBorder="0" applyAlignment="0" applyProtection="0"/>
    <xf numFmtId="169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169" fontId="2" fillId="0" borderId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ill="0" applyBorder="0" applyAlignment="0" applyProtection="0"/>
    <xf numFmtId="169" fontId="2" fillId="0" borderId="0" applyFill="0" applyBorder="0" applyAlignment="0" applyProtection="0"/>
    <xf numFmtId="168" fontId="2" fillId="0" borderId="0" applyFill="0" applyBorder="0" applyAlignment="0" applyProtection="0"/>
    <xf numFmtId="167" fontId="2" fillId="0" borderId="0" applyFill="0" applyBorder="0" applyAlignment="0" applyProtection="0"/>
    <xf numFmtId="167" fontId="2" fillId="0" borderId="0" applyFill="0" applyBorder="0" applyAlignment="0" applyProtection="0"/>
    <xf numFmtId="44" fontId="2" fillId="0" borderId="0" applyFont="0" applyFill="0" applyBorder="0" applyAlignment="0" applyProtection="0"/>
    <xf numFmtId="0" fontId="4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435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/>
    <xf numFmtId="167" fontId="8" fillId="0" borderId="0" xfId="29"/>
    <xf numFmtId="0" fontId="3" fillId="3" borderId="0" xfId="0" applyFont="1" applyFill="1"/>
    <xf numFmtId="0" fontId="3" fillId="2" borderId="0" xfId="0" applyFont="1" applyFill="1"/>
    <xf numFmtId="167" fontId="3" fillId="2" borderId="0" xfId="29" applyFont="1" applyFill="1" applyBorder="1" applyAlignment="1" applyProtection="1"/>
    <xf numFmtId="0" fontId="3" fillId="2" borderId="0" xfId="0" applyFont="1" applyFill="1" applyAlignment="1">
      <alignment horizontal="center"/>
    </xf>
    <xf numFmtId="0" fontId="3" fillId="4" borderId="4" xfId="0" applyFont="1" applyFill="1" applyBorder="1"/>
    <xf numFmtId="4" fontId="3" fillId="4" borderId="4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3" fillId="4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/>
    </xf>
    <xf numFmtId="9" fontId="3" fillId="4" borderId="4" xfId="0" applyNumberFormat="1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 wrapText="1"/>
    </xf>
    <xf numFmtId="167" fontId="3" fillId="4" borderId="4" xfId="29" applyFont="1" applyFill="1" applyBorder="1" applyAlignment="1" applyProtection="1">
      <alignment horizontal="center"/>
    </xf>
    <xf numFmtId="9" fontId="3" fillId="4" borderId="9" xfId="0" applyNumberFormat="1" applyFont="1" applyFill="1" applyBorder="1" applyAlignment="1">
      <alignment horizontal="center"/>
    </xf>
    <xf numFmtId="0" fontId="5" fillId="6" borderId="10" xfId="0" applyFont="1" applyFill="1" applyBorder="1" applyAlignment="1">
      <alignment vertical="center" wrapText="1"/>
    </xf>
    <xf numFmtId="4" fontId="3" fillId="0" borderId="0" xfId="0" applyNumberFormat="1" applyFont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13" fillId="8" borderId="45" xfId="0" applyFont="1" applyFill="1" applyBorder="1" applyAlignment="1">
      <alignment horizontal="center" vertical="center"/>
    </xf>
    <xf numFmtId="0" fontId="13" fillId="8" borderId="45" xfId="0" applyFont="1" applyFill="1" applyBorder="1" applyAlignment="1">
      <alignment horizontal="left" vertical="center"/>
    </xf>
    <xf numFmtId="0" fontId="13" fillId="9" borderId="47" xfId="0" applyFont="1" applyFill="1" applyBorder="1" applyAlignment="1">
      <alignment horizontal="center" wrapText="1"/>
    </xf>
    <xf numFmtId="0" fontId="13" fillId="9" borderId="48" xfId="0" applyFont="1" applyFill="1" applyBorder="1" applyAlignment="1">
      <alignment horizontal="left" wrapText="1"/>
    </xf>
    <xf numFmtId="0" fontId="13" fillId="9" borderId="48" xfId="0" applyFont="1" applyFill="1" applyBorder="1" applyAlignment="1">
      <alignment horizontal="center" wrapText="1"/>
    </xf>
    <xf numFmtId="0" fontId="13" fillId="9" borderId="49" xfId="0" applyFont="1" applyFill="1" applyBorder="1" applyAlignment="1">
      <alignment horizontal="center" wrapText="1"/>
    </xf>
    <xf numFmtId="0" fontId="4" fillId="0" borderId="0" xfId="0" applyFont="1"/>
    <xf numFmtId="0" fontId="0" fillId="0" borderId="0" xfId="0" applyAlignment="1">
      <alignment horizontal="center"/>
    </xf>
    <xf numFmtId="9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wrapText="1"/>
    </xf>
    <xf numFmtId="0" fontId="3" fillId="2" borderId="0" xfId="0" applyFont="1" applyFill="1" applyAlignment="1">
      <alignment wrapText="1"/>
    </xf>
    <xf numFmtId="4" fontId="3" fillId="2" borderId="0" xfId="0" applyNumberFormat="1" applyFont="1" applyFill="1" applyAlignment="1">
      <alignment horizontal="left"/>
    </xf>
    <xf numFmtId="0" fontId="3" fillId="0" borderId="23" xfId="0" applyFont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4" fontId="3" fillId="2" borderId="0" xfId="0" applyNumberFormat="1" applyFont="1" applyFill="1" applyAlignment="1">
      <alignment horizontal="left" wrapText="1"/>
    </xf>
    <xf numFmtId="0" fontId="13" fillId="9" borderId="47" xfId="0" applyFont="1" applyFill="1" applyBorder="1" applyAlignment="1">
      <alignment horizontal="left" wrapText="1"/>
    </xf>
    <xf numFmtId="0" fontId="4" fillId="0" borderId="23" xfId="0" applyFont="1" applyBorder="1" applyAlignment="1">
      <alignment horizontal="center"/>
    </xf>
    <xf numFmtId="0" fontId="5" fillId="2" borderId="0" xfId="0" applyFont="1" applyFill="1" applyAlignment="1">
      <alignment horizontal="right" wrapText="1"/>
    </xf>
    <xf numFmtId="0" fontId="0" fillId="0" borderId="0" xfId="0" applyAlignment="1">
      <alignment horizontal="right"/>
    </xf>
    <xf numFmtId="4" fontId="0" fillId="0" borderId="0" xfId="0" applyNumberFormat="1"/>
    <xf numFmtId="4" fontId="0" fillId="0" borderId="0" xfId="0" applyNumberFormat="1" applyAlignment="1">
      <alignment horizontal="center"/>
    </xf>
    <xf numFmtId="4" fontId="0" fillId="0" borderId="23" xfId="0" applyNumberFormat="1" applyBorder="1" applyAlignment="1">
      <alignment horizontal="center"/>
    </xf>
    <xf numFmtId="0" fontId="5" fillId="2" borderId="0" xfId="0" applyFont="1" applyFill="1" applyAlignment="1">
      <alignment horizontal="right"/>
    </xf>
    <xf numFmtId="0" fontId="3" fillId="10" borderId="0" xfId="0" applyFont="1" applyFill="1" applyAlignment="1">
      <alignment wrapText="1"/>
    </xf>
    <xf numFmtId="4" fontId="3" fillId="10" borderId="0" xfId="0" applyNumberFormat="1" applyFont="1" applyFill="1" applyAlignment="1">
      <alignment horizontal="center"/>
    </xf>
    <xf numFmtId="0" fontId="3" fillId="4" borderId="0" xfId="0" applyFont="1" applyFill="1" applyAlignment="1">
      <alignment vertical="center" wrapText="1"/>
    </xf>
    <xf numFmtId="4" fontId="3" fillId="4" borderId="0" xfId="0" applyNumberFormat="1" applyFont="1" applyFill="1" applyAlignment="1">
      <alignment horizontal="center" vertical="center"/>
    </xf>
    <xf numFmtId="0" fontId="0" fillId="4" borderId="0" xfId="0" applyFill="1"/>
    <xf numFmtId="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vertical="center"/>
    </xf>
    <xf numFmtId="0" fontId="0" fillId="10" borderId="0" xfId="0" applyFill="1"/>
    <xf numFmtId="0" fontId="0" fillId="3" borderId="0" xfId="0" applyFill="1"/>
    <xf numFmtId="4" fontId="3" fillId="3" borderId="0" xfId="0" applyNumberFormat="1" applyFont="1" applyFill="1" applyAlignment="1">
      <alignment horizontal="left"/>
    </xf>
    <xf numFmtId="4" fontId="3" fillId="3" borderId="0" xfId="0" applyNumberFormat="1" applyFont="1" applyFill="1" applyAlignment="1">
      <alignment horizontal="center"/>
    </xf>
    <xf numFmtId="4" fontId="0" fillId="3" borderId="23" xfId="0" applyNumberFormat="1" applyFill="1" applyBorder="1" applyAlignment="1">
      <alignment horizontal="center"/>
    </xf>
    <xf numFmtId="4" fontId="3" fillId="0" borderId="0" xfId="0" applyNumberFormat="1" applyFont="1" applyAlignment="1">
      <alignment horizontal="left" wrapText="1"/>
    </xf>
    <xf numFmtId="4" fontId="3" fillId="0" borderId="0" xfId="0" applyNumberFormat="1" applyFont="1" applyAlignment="1">
      <alignment horizontal="left"/>
    </xf>
    <xf numFmtId="4" fontId="3" fillId="0" borderId="23" xfId="0" applyNumberFormat="1" applyFont="1" applyBorder="1" applyAlignment="1">
      <alignment horizontal="center"/>
    </xf>
    <xf numFmtId="4" fontId="3" fillId="10" borderId="0" xfId="0" applyNumberFormat="1" applyFont="1" applyFill="1" applyAlignment="1">
      <alignment horizontal="left"/>
    </xf>
    <xf numFmtId="4" fontId="3" fillId="10" borderId="0" xfId="0" applyNumberFormat="1" applyFont="1" applyFill="1" applyAlignment="1">
      <alignment horizontal="left" wrapText="1"/>
    </xf>
    <xf numFmtId="4" fontId="3" fillId="3" borderId="23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43" fontId="0" fillId="0" borderId="0" xfId="0" applyNumberFormat="1"/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0" fontId="3" fillId="4" borderId="0" xfId="0" applyFont="1" applyFill="1"/>
    <xf numFmtId="4" fontId="3" fillId="11" borderId="0" xfId="0" applyNumberFormat="1" applyFont="1" applyFill="1" applyAlignment="1">
      <alignment horizontal="center" vertical="center"/>
    </xf>
    <xf numFmtId="4" fontId="3" fillId="11" borderId="0" xfId="0" applyNumberFormat="1" applyFont="1" applyFill="1" applyAlignment="1">
      <alignment horizontal="center"/>
    </xf>
    <xf numFmtId="2" fontId="3" fillId="0" borderId="23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3" fontId="12" fillId="0" borderId="4" xfId="0" applyNumberFormat="1" applyFont="1" applyBorder="1" applyAlignment="1">
      <alignment horizontal="center"/>
    </xf>
    <xf numFmtId="4" fontId="12" fillId="0" borderId="4" xfId="0" applyNumberFormat="1" applyFont="1" applyBorder="1" applyAlignment="1">
      <alignment horizontal="center"/>
    </xf>
    <xf numFmtId="2" fontId="0" fillId="0" borderId="0" xfId="0" applyNumberFormat="1"/>
    <xf numFmtId="3" fontId="0" fillId="0" borderId="0" xfId="0" applyNumberFormat="1"/>
    <xf numFmtId="0" fontId="4" fillId="0" borderId="0" xfId="4"/>
    <xf numFmtId="0" fontId="3" fillId="0" borderId="0" xfId="4" applyFont="1"/>
    <xf numFmtId="167" fontId="8" fillId="0" borderId="0" xfId="29" applyFill="1" applyBorder="1"/>
    <xf numFmtId="0" fontId="15" fillId="0" borderId="0" xfId="0" applyFont="1" applyAlignment="1">
      <alignment horizontal="center" vertical="center"/>
    </xf>
    <xf numFmtId="0" fontId="4" fillId="0" borderId="0" xfId="4" applyAlignment="1">
      <alignment horizontal="center"/>
    </xf>
    <xf numFmtId="0" fontId="3" fillId="0" borderId="0" xfId="4" applyFont="1" applyAlignment="1">
      <alignment vertical="center"/>
    </xf>
    <xf numFmtId="0" fontId="14" fillId="0" borderId="0" xfId="0" applyFont="1" applyAlignment="1">
      <alignment wrapText="1"/>
    </xf>
    <xf numFmtId="0" fontId="2" fillId="0" borderId="0" xfId="0" applyFont="1" applyAlignment="1">
      <alignment horizontal="center"/>
    </xf>
    <xf numFmtId="44" fontId="0" fillId="0" borderId="0" xfId="0" applyNumberFormat="1"/>
    <xf numFmtId="0" fontId="15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center"/>
    </xf>
    <xf numFmtId="4" fontId="8" fillId="0" borderId="0" xfId="29" applyNumberFormat="1" applyFill="1" applyBorder="1" applyAlignment="1">
      <alignment horizontal="center" vertical="center"/>
    </xf>
    <xf numFmtId="0" fontId="2" fillId="0" borderId="0" xfId="0" applyFont="1"/>
    <xf numFmtId="0" fontId="13" fillId="0" borderId="0" xfId="0" applyFont="1" applyAlignment="1">
      <alignment horizontal="left" vertical="center"/>
    </xf>
    <xf numFmtId="167" fontId="8" fillId="0" borderId="0" xfId="29" applyFill="1"/>
    <xf numFmtId="167" fontId="8" fillId="0" borderId="0" xfId="29" applyFill="1" applyBorder="1" applyAlignment="1">
      <alignment vertical="center"/>
    </xf>
    <xf numFmtId="44" fontId="18" fillId="0" borderId="0" xfId="0" applyNumberFormat="1" applyFont="1" applyAlignment="1">
      <alignment horizontal="left" vertical="center"/>
    </xf>
    <xf numFmtId="44" fontId="4" fillId="0" borderId="0" xfId="4" applyNumberFormat="1" applyAlignment="1">
      <alignment horizontal="center"/>
    </xf>
    <xf numFmtId="0" fontId="6" fillId="0" borderId="0" xfId="66" applyFont="1" applyAlignment="1">
      <alignment horizontal="left" vertical="top"/>
    </xf>
    <xf numFmtId="0" fontId="2" fillId="0" borderId="0" xfId="64" applyAlignment="1">
      <alignment vertical="top"/>
    </xf>
    <xf numFmtId="179" fontId="2" fillId="0" borderId="0" xfId="64" applyNumberFormat="1"/>
    <xf numFmtId="0" fontId="2" fillId="0" borderId="0" xfId="64" applyAlignment="1">
      <alignment vertical="center"/>
    </xf>
    <xf numFmtId="0" fontId="35" fillId="0" borderId="20" xfId="64" applyFont="1" applyBorder="1" applyAlignment="1">
      <alignment vertical="center"/>
    </xf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38" fillId="0" borderId="0" xfId="65" applyFont="1"/>
    <xf numFmtId="0" fontId="0" fillId="0" borderId="28" xfId="0" applyBorder="1"/>
    <xf numFmtId="0" fontId="38" fillId="0" borderId="37" xfId="65" applyFont="1" applyBorder="1"/>
    <xf numFmtId="0" fontId="2" fillId="0" borderId="0" xfId="32"/>
    <xf numFmtId="0" fontId="6" fillId="0" borderId="37" xfId="32" applyFont="1" applyBorder="1"/>
    <xf numFmtId="0" fontId="2" fillId="0" borderId="37" xfId="32" applyBorder="1"/>
    <xf numFmtId="0" fontId="6" fillId="0" borderId="0" xfId="0" applyFont="1" applyAlignment="1">
      <alignment vertical="center"/>
    </xf>
    <xf numFmtId="0" fontId="6" fillId="0" borderId="85" xfId="32" applyFont="1" applyBorder="1"/>
    <xf numFmtId="0" fontId="2" fillId="0" borderId="86" xfId="32" applyBorder="1"/>
    <xf numFmtId="0" fontId="2" fillId="0" borderId="31" xfId="32" applyBorder="1"/>
    <xf numFmtId="0" fontId="6" fillId="0" borderId="31" xfId="0" applyFont="1" applyBorder="1" applyAlignment="1">
      <alignment vertical="center"/>
    </xf>
    <xf numFmtId="0" fontId="2" fillId="0" borderId="31" xfId="64" applyBorder="1" applyAlignment="1">
      <alignment vertical="top"/>
    </xf>
    <xf numFmtId="179" fontId="2" fillId="0" borderId="31" xfId="64" applyNumberFormat="1" applyBorder="1"/>
    <xf numFmtId="0" fontId="0" fillId="0" borderId="31" xfId="0" applyBorder="1"/>
    <xf numFmtId="0" fontId="0" fillId="0" borderId="33" xfId="0" applyBorder="1"/>
    <xf numFmtId="0" fontId="16" fillId="0" borderId="0" xfId="4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2" fillId="0" borderId="0" xfId="0" applyFont="1" applyAlignment="1">
      <alignment horizontal="left"/>
    </xf>
    <xf numFmtId="0" fontId="35" fillId="28" borderId="0" xfId="0" applyFont="1" applyFill="1" applyAlignment="1">
      <alignment horizontal="center" vertical="center"/>
    </xf>
    <xf numFmtId="0" fontId="2" fillId="28" borderId="0" xfId="0" applyFont="1" applyFill="1"/>
    <xf numFmtId="0" fontId="6" fillId="2" borderId="9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4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173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73" fontId="2" fillId="0" borderId="0" xfId="0" applyNumberFormat="1" applyFont="1" applyAlignment="1">
      <alignment horizontal="center" vertical="center"/>
    </xf>
    <xf numFmtId="0" fontId="2" fillId="0" borderId="4" xfId="0" applyFont="1" applyBorder="1"/>
    <xf numFmtId="0" fontId="2" fillId="2" borderId="13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35" fillId="28" borderId="0" xfId="0" applyFont="1" applyFill="1" applyAlignment="1">
      <alignment horizontal="left" wrapText="1"/>
    </xf>
    <xf numFmtId="0" fontId="2" fillId="2" borderId="4" xfId="0" applyFont="1" applyFill="1" applyBorder="1" applyAlignment="1">
      <alignment horizontal="center" vertical="center"/>
    </xf>
    <xf numFmtId="0" fontId="43" fillId="0" borderId="16" xfId="0" applyFont="1" applyBorder="1" applyAlignment="1">
      <alignment horizontal="left" vertical="center"/>
    </xf>
    <xf numFmtId="0" fontId="43" fillId="0" borderId="6" xfId="0" applyFont="1" applyBorder="1" applyAlignment="1">
      <alignment horizontal="left" vertical="center"/>
    </xf>
    <xf numFmtId="0" fontId="6" fillId="2" borderId="0" xfId="0" applyFont="1" applyFill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2" borderId="0" xfId="0" applyFont="1" applyFill="1" applyAlignment="1">
      <alignment horizontal="center"/>
    </xf>
    <xf numFmtId="0" fontId="6" fillId="0" borderId="4" xfId="0" applyFont="1" applyBorder="1" applyAlignment="1">
      <alignment vertical="center"/>
    </xf>
    <xf numFmtId="0" fontId="2" fillId="4" borderId="4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" fillId="0" borderId="9" xfId="0" applyFont="1" applyBorder="1"/>
    <xf numFmtId="0" fontId="6" fillId="28" borderId="4" xfId="0" applyFont="1" applyFill="1" applyBorder="1" applyAlignment="1">
      <alignment horizontal="center" vertical="center" wrapText="1"/>
    </xf>
    <xf numFmtId="0" fontId="2" fillId="28" borderId="0" xfId="0" applyFont="1" applyFill="1" applyAlignment="1">
      <alignment vertical="center" wrapText="1"/>
    </xf>
    <xf numFmtId="0" fontId="2" fillId="12" borderId="0" xfId="0" applyFont="1" applyFill="1"/>
    <xf numFmtId="0" fontId="35" fillId="2" borderId="0" xfId="0" applyFont="1" applyFill="1" applyAlignment="1">
      <alignment horizontal="center" vertical="center"/>
    </xf>
    <xf numFmtId="0" fontId="6" fillId="7" borderId="9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 wrapText="1"/>
    </xf>
    <xf numFmtId="0" fontId="0" fillId="28" borderId="0" xfId="0" applyFill="1"/>
    <xf numFmtId="0" fontId="35" fillId="32" borderId="0" xfId="0" applyFont="1" applyFill="1" applyAlignment="1">
      <alignment horizontal="center" vertical="center"/>
    </xf>
    <xf numFmtId="0" fontId="35" fillId="32" borderId="0" xfId="0" applyFont="1" applyFill="1" applyAlignment="1">
      <alignment horizontal="left" vertical="center"/>
    </xf>
    <xf numFmtId="0" fontId="2" fillId="32" borderId="0" xfId="0" applyFont="1" applyFill="1"/>
    <xf numFmtId="0" fontId="6" fillId="28" borderId="41" xfId="0" applyFont="1" applyFill="1" applyBorder="1" applyAlignment="1">
      <alignment horizontal="center"/>
    </xf>
    <xf numFmtId="0" fontId="42" fillId="28" borderId="9" xfId="0" applyFont="1" applyFill="1" applyBorder="1" applyAlignment="1">
      <alignment horizontal="center"/>
    </xf>
    <xf numFmtId="0" fontId="26" fillId="28" borderId="0" xfId="0" applyFont="1" applyFill="1"/>
    <xf numFmtId="0" fontId="43" fillId="28" borderId="6" xfId="0" applyFont="1" applyFill="1" applyBorder="1" applyAlignment="1">
      <alignment horizontal="left" vertical="center"/>
    </xf>
    <xf numFmtId="0" fontId="47" fillId="0" borderId="0" xfId="105" applyFont="1" applyFill="1"/>
    <xf numFmtId="0" fontId="47" fillId="0" borderId="0" xfId="106" applyFont="1" applyFill="1"/>
    <xf numFmtId="0" fontId="47" fillId="30" borderId="0" xfId="105" applyFont="1"/>
    <xf numFmtId="0" fontId="6" fillId="7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 wrapText="1"/>
    </xf>
    <xf numFmtId="0" fontId="50" fillId="0" borderId="0" xfId="0" applyFont="1"/>
    <xf numFmtId="44" fontId="50" fillId="0" borderId="0" xfId="0" applyNumberFormat="1" applyFont="1"/>
    <xf numFmtId="0" fontId="50" fillId="0" borderId="0" xfId="0" applyFont="1" applyAlignment="1">
      <alignment horizontal="center"/>
    </xf>
    <xf numFmtId="8" fontId="48" fillId="0" borderId="0" xfId="0" applyNumberFormat="1" applyFont="1"/>
    <xf numFmtId="0" fontId="50" fillId="2" borderId="0" xfId="0" applyFont="1" applyFill="1"/>
    <xf numFmtId="8" fontId="48" fillId="0" borderId="4" xfId="0" applyNumberFormat="1" applyFont="1" applyBorder="1"/>
    <xf numFmtId="0" fontId="0" fillId="28" borderId="34" xfId="0" applyFill="1" applyBorder="1"/>
    <xf numFmtId="0" fontId="0" fillId="28" borderId="35" xfId="0" applyFill="1" applyBorder="1"/>
    <xf numFmtId="0" fontId="0" fillId="28" borderId="36" xfId="0" applyFill="1" applyBorder="1"/>
    <xf numFmtId="0" fontId="0" fillId="28" borderId="37" xfId="0" applyFill="1" applyBorder="1"/>
    <xf numFmtId="0" fontId="0" fillId="28" borderId="28" xfId="0" applyFill="1" applyBorder="1"/>
    <xf numFmtId="0" fontId="51" fillId="28" borderId="0" xfId="0" applyFont="1" applyFill="1" applyAlignment="1">
      <alignment horizontal="center" vertical="center"/>
    </xf>
    <xf numFmtId="0" fontId="0" fillId="28" borderId="38" xfId="0" applyFill="1" applyBorder="1"/>
    <xf numFmtId="0" fontId="0" fillId="28" borderId="31" xfId="0" applyFill="1" applyBorder="1"/>
    <xf numFmtId="0" fontId="0" fillId="28" borderId="33" xfId="0" applyFill="1" applyBorder="1"/>
    <xf numFmtId="0" fontId="0" fillId="0" borderId="0" xfId="0" applyAlignment="1">
      <alignment horizontal="left" vertical="center"/>
    </xf>
    <xf numFmtId="0" fontId="48" fillId="0" borderId="37" xfId="0" applyFont="1" applyBorder="1"/>
    <xf numFmtId="0" fontId="48" fillId="0" borderId="0" xfId="0" applyFont="1"/>
    <xf numFmtId="0" fontId="48" fillId="2" borderId="0" xfId="0" applyFont="1" applyFill="1" applyAlignment="1">
      <alignment horizontal="center"/>
    </xf>
    <xf numFmtId="9" fontId="48" fillId="0" borderId="0" xfId="7" applyFont="1" applyAlignment="1">
      <alignment horizontal="center"/>
    </xf>
    <xf numFmtId="0" fontId="48" fillId="2" borderId="0" xfId="0" applyFont="1" applyFill="1"/>
    <xf numFmtId="0" fontId="48" fillId="0" borderId="0" xfId="0" applyFont="1" applyAlignment="1">
      <alignment horizontal="center"/>
    </xf>
    <xf numFmtId="2" fontId="48" fillId="0" borderId="0" xfId="0" applyNumberFormat="1" applyFont="1" applyAlignment="1">
      <alignment horizontal="center"/>
    </xf>
    <xf numFmtId="0" fontId="48" fillId="2" borderId="0" xfId="0" applyFont="1" applyFill="1" applyAlignment="1">
      <alignment horizontal="left" vertical="center" wrapText="1"/>
    </xf>
    <xf numFmtId="0" fontId="35" fillId="0" borderId="0" xfId="0" applyFont="1"/>
    <xf numFmtId="0" fontId="48" fillId="0" borderId="4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173" fontId="48" fillId="0" borderId="0" xfId="0" applyNumberFormat="1" applyFont="1" applyAlignment="1">
      <alignment horizontal="center" vertical="center" wrapText="1"/>
    </xf>
    <xf numFmtId="173" fontId="48" fillId="0" borderId="0" xfId="0" applyNumberFormat="1" applyFont="1" applyAlignment="1">
      <alignment horizontal="center" vertical="center"/>
    </xf>
    <xf numFmtId="0" fontId="35" fillId="2" borderId="0" xfId="0" applyFont="1" applyFill="1"/>
    <xf numFmtId="0" fontId="35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48" fillId="2" borderId="0" xfId="0" applyFont="1" applyFill="1" applyAlignment="1">
      <alignment horizontal="left"/>
    </xf>
    <xf numFmtId="9" fontId="48" fillId="2" borderId="0" xfId="7" applyFont="1" applyFill="1" applyBorder="1" applyAlignment="1">
      <alignment horizontal="center"/>
    </xf>
    <xf numFmtId="0" fontId="48" fillId="2" borderId="4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center" vertical="center" wrapText="1"/>
    </xf>
    <xf numFmtId="0" fontId="48" fillId="2" borderId="0" xfId="0" applyFont="1" applyFill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left"/>
    </xf>
    <xf numFmtId="0" fontId="48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 wrapText="1"/>
    </xf>
    <xf numFmtId="0" fontId="48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center"/>
    </xf>
    <xf numFmtId="2" fontId="35" fillId="2" borderId="0" xfId="0" applyNumberFormat="1" applyFont="1" applyFill="1" applyAlignment="1">
      <alignment horizontal="center"/>
    </xf>
    <xf numFmtId="2" fontId="48" fillId="2" borderId="0" xfId="0" applyNumberFormat="1" applyFont="1" applyFill="1" applyAlignment="1">
      <alignment horizontal="center"/>
    </xf>
    <xf numFmtId="2" fontId="48" fillId="7" borderId="9" xfId="0" applyNumberFormat="1" applyFont="1" applyFill="1" applyBorder="1" applyAlignment="1">
      <alignment horizontal="center"/>
    </xf>
    <xf numFmtId="9" fontId="48" fillId="2" borderId="0" xfId="0" applyNumberFormat="1" applyFont="1" applyFill="1" applyAlignment="1">
      <alignment horizontal="center" vertical="center"/>
    </xf>
    <xf numFmtId="0" fontId="48" fillId="5" borderId="0" xfId="0" applyFont="1" applyFill="1" applyAlignment="1">
      <alignment horizontal="center" vertical="center"/>
    </xf>
    <xf numFmtId="0" fontId="48" fillId="7" borderId="0" xfId="0" applyFont="1" applyFill="1"/>
    <xf numFmtId="4" fontId="48" fillId="2" borderId="0" xfId="0" applyNumberFormat="1" applyFont="1" applyFill="1" applyAlignment="1">
      <alignment horizontal="center"/>
    </xf>
    <xf numFmtId="0" fontId="48" fillId="7" borderId="9" xfId="0" applyFont="1" applyFill="1" applyBorder="1" applyAlignment="1">
      <alignment horizontal="center"/>
    </xf>
    <xf numFmtId="43" fontId="48" fillId="0" borderId="0" xfId="0" applyNumberFormat="1" applyFont="1"/>
    <xf numFmtId="0" fontId="35" fillId="29" borderId="43" xfId="104" applyFont="1" applyBorder="1" applyAlignment="1">
      <alignment horizontal="center" vertical="center" wrapText="1"/>
    </xf>
    <xf numFmtId="44" fontId="48" fillId="0" borderId="4" xfId="0" applyNumberFormat="1" applyFont="1" applyBorder="1" applyAlignment="1">
      <alignment horizontal="center"/>
    </xf>
    <xf numFmtId="0" fontId="48" fillId="2" borderId="4" xfId="0" applyFont="1" applyFill="1" applyBorder="1" applyAlignment="1">
      <alignment horizontal="center"/>
    </xf>
    <xf numFmtId="0" fontId="35" fillId="27" borderId="48" xfId="0" applyFont="1" applyFill="1" applyBorder="1" applyAlignment="1">
      <alignment horizontal="center" vertical="center" wrapText="1"/>
    </xf>
    <xf numFmtId="0" fontId="48" fillId="0" borderId="4" xfId="0" applyFont="1" applyBorder="1" applyAlignment="1">
      <alignment wrapText="1"/>
    </xf>
    <xf numFmtId="44" fontId="48" fillId="0" borderId="4" xfId="0" applyNumberFormat="1" applyFont="1" applyBorder="1" applyAlignment="1">
      <alignment horizontal="center" vertical="center"/>
    </xf>
    <xf numFmtId="0" fontId="48" fillId="0" borderId="4" xfId="0" applyFont="1" applyBorder="1" applyAlignment="1">
      <alignment vertical="center"/>
    </xf>
    <xf numFmtId="0" fontId="56" fillId="0" borderId="0" xfId="0" applyFont="1" applyAlignment="1">
      <alignment wrapText="1"/>
    </xf>
    <xf numFmtId="0" fontId="52" fillId="31" borderId="24" xfId="106" applyFont="1" applyBorder="1" applyAlignment="1">
      <alignment horizontal="left" vertical="center"/>
    </xf>
    <xf numFmtId="0" fontId="52" fillId="31" borderId="4" xfId="106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52" fillId="31" borderId="19" xfId="106" applyFont="1" applyBorder="1" applyAlignment="1">
      <alignment horizontal="center" wrapText="1"/>
    </xf>
    <xf numFmtId="0" fontId="52" fillId="31" borderId="20" xfId="106" applyFont="1" applyBorder="1" applyAlignment="1">
      <alignment horizontal="left" wrapText="1"/>
    </xf>
    <xf numFmtId="0" fontId="52" fillId="31" borderId="20" xfId="106" applyFont="1" applyBorder="1" applyAlignment="1">
      <alignment horizontal="center" wrapText="1"/>
    </xf>
    <xf numFmtId="0" fontId="2" fillId="0" borderId="21" xfId="4" applyFont="1" applyBorder="1" applyAlignment="1">
      <alignment vertical="center"/>
    </xf>
    <xf numFmtId="44" fontId="2" fillId="0" borderId="13" xfId="30" applyNumberFormat="1" applyFont="1" applyFill="1" applyBorder="1" applyAlignment="1" applyProtection="1">
      <alignment vertical="center"/>
    </xf>
    <xf numFmtId="171" fontId="2" fillId="0" borderId="0" xfId="30" applyNumberFormat="1" applyFont="1" applyFill="1" applyBorder="1" applyAlignment="1" applyProtection="1">
      <alignment vertical="center"/>
    </xf>
    <xf numFmtId="0" fontId="2" fillId="0" borderId="39" xfId="0" applyFont="1" applyBorder="1" applyAlignment="1">
      <alignment horizontal="center"/>
    </xf>
    <xf numFmtId="0" fontId="2" fillId="0" borderId="27" xfId="0" applyFont="1" applyBorder="1" applyAlignment="1">
      <alignment horizontal="justify" vertical="distributed"/>
    </xf>
    <xf numFmtId="167" fontId="2" fillId="0" borderId="28" xfId="30" applyFont="1" applyFill="1" applyBorder="1" applyAlignment="1" applyProtection="1"/>
    <xf numFmtId="0" fontId="2" fillId="0" borderId="2" xfId="4" applyFont="1" applyBorder="1" applyAlignment="1">
      <alignment vertical="center"/>
    </xf>
    <xf numFmtId="44" fontId="2" fillId="0" borderId="29" xfId="30" applyNumberFormat="1" applyFont="1" applyFill="1" applyBorder="1" applyAlignment="1" applyProtection="1">
      <alignment vertical="center"/>
    </xf>
    <xf numFmtId="0" fontId="2" fillId="0" borderId="27" xfId="0" applyFont="1" applyBorder="1"/>
    <xf numFmtId="0" fontId="2" fillId="0" borderId="19" xfId="4" applyFont="1" applyBorder="1" applyAlignment="1">
      <alignment vertical="center"/>
    </xf>
    <xf numFmtId="44" fontId="2" fillId="0" borderId="9" xfId="30" applyNumberFormat="1" applyFont="1" applyFill="1" applyBorder="1" applyAlignment="1" applyProtection="1">
      <alignment vertical="center"/>
    </xf>
    <xf numFmtId="0" fontId="52" fillId="30" borderId="19" xfId="105" applyFont="1" applyBorder="1" applyAlignment="1">
      <alignment horizontal="left" vertical="center"/>
    </xf>
    <xf numFmtId="44" fontId="52" fillId="30" borderId="9" xfId="105" applyNumberFormat="1" applyFont="1" applyBorder="1" applyAlignment="1">
      <alignment horizontal="center" vertical="center"/>
    </xf>
    <xf numFmtId="171" fontId="41" fillId="0" borderId="0" xfId="0" applyNumberFormat="1" applyFont="1" applyAlignment="1">
      <alignment horizontal="center" vertical="center"/>
    </xf>
    <xf numFmtId="0" fontId="2" fillId="0" borderId="0" xfId="4" applyFont="1"/>
    <xf numFmtId="0" fontId="57" fillId="0" borderId="0" xfId="4" applyFont="1" applyAlignment="1">
      <alignment horizontal="center"/>
    </xf>
    <xf numFmtId="0" fontId="52" fillId="30" borderId="4" xfId="105" applyFont="1" applyBorder="1" applyAlignment="1">
      <alignment horizontal="left" vertical="center" wrapText="1"/>
    </xf>
    <xf numFmtId="44" fontId="52" fillId="30" borderId="4" xfId="105" applyNumberFormat="1" applyFont="1" applyBorder="1" applyAlignment="1">
      <alignment horizontal="center" vertical="center"/>
    </xf>
    <xf numFmtId="44" fontId="58" fillId="0" borderId="0" xfId="0" applyNumberFormat="1" applyFont="1" applyAlignment="1">
      <alignment horizontal="center" vertical="center"/>
    </xf>
    <xf numFmtId="0" fontId="2" fillId="0" borderId="0" xfId="4" applyFont="1" applyAlignment="1">
      <alignment horizontal="center"/>
    </xf>
    <xf numFmtId="0" fontId="52" fillId="30" borderId="32" xfId="105" applyFont="1" applyBorder="1" applyAlignment="1">
      <alignment horizontal="center"/>
    </xf>
    <xf numFmtId="0" fontId="52" fillId="30" borderId="30" xfId="105" applyFont="1" applyBorder="1"/>
    <xf numFmtId="0" fontId="52" fillId="30" borderId="31" xfId="105" applyFont="1" applyBorder="1" applyAlignment="1">
      <alignment horizontal="center"/>
    </xf>
    <xf numFmtId="2" fontId="52" fillId="30" borderId="32" xfId="105" applyNumberFormat="1" applyFont="1" applyBorder="1" applyAlignment="1">
      <alignment horizontal="center"/>
    </xf>
    <xf numFmtId="167" fontId="52" fillId="30" borderId="33" xfId="105" applyNumberFormat="1" applyFont="1" applyBorder="1" applyAlignment="1" applyProtection="1"/>
    <xf numFmtId="0" fontId="48" fillId="29" borderId="21" xfId="104" applyFont="1" applyBorder="1" applyAlignment="1">
      <alignment horizontal="center" vertical="center"/>
    </xf>
    <xf numFmtId="0" fontId="48" fillId="29" borderId="22" xfId="104" applyFont="1" applyBorder="1" applyAlignment="1">
      <alignment horizontal="left" vertical="center"/>
    </xf>
    <xf numFmtId="0" fontId="48" fillId="29" borderId="22" xfId="104" applyFont="1" applyBorder="1" applyAlignment="1">
      <alignment horizontal="center" vertical="center"/>
    </xf>
    <xf numFmtId="0" fontId="48" fillId="29" borderId="5" xfId="104" applyFont="1" applyBorder="1" applyAlignment="1">
      <alignment horizontal="center" vertical="center"/>
    </xf>
    <xf numFmtId="0" fontId="48" fillId="29" borderId="56" xfId="104" applyFont="1" applyBorder="1" applyAlignment="1">
      <alignment horizontal="center" vertical="center"/>
    </xf>
    <xf numFmtId="0" fontId="48" fillId="29" borderId="45" xfId="104" applyFont="1" applyBorder="1" applyAlignment="1">
      <alignment horizontal="center" vertical="center"/>
    </xf>
    <xf numFmtId="0" fontId="48" fillId="29" borderId="57" xfId="104" applyFont="1" applyBorder="1" applyAlignment="1">
      <alignment horizontal="center" vertical="center"/>
    </xf>
    <xf numFmtId="0" fontId="48" fillId="31" borderId="47" xfId="106" applyFont="1" applyBorder="1" applyAlignment="1">
      <alignment horizontal="center" wrapText="1"/>
    </xf>
    <xf numFmtId="0" fontId="48" fillId="31" borderId="48" xfId="106" applyFont="1" applyBorder="1" applyAlignment="1">
      <alignment horizontal="left" wrapText="1"/>
    </xf>
    <xf numFmtId="0" fontId="48" fillId="31" borderId="48" xfId="106" applyFont="1" applyBorder="1" applyAlignment="1">
      <alignment horizontal="center" wrapText="1"/>
    </xf>
    <xf numFmtId="0" fontId="48" fillId="31" borderId="49" xfId="106" applyFont="1" applyBorder="1" applyAlignment="1">
      <alignment horizontal="center" wrapText="1"/>
    </xf>
    <xf numFmtId="0" fontId="48" fillId="30" borderId="2" xfId="105" applyFont="1" applyBorder="1" applyAlignment="1"/>
    <xf numFmtId="0" fontId="48" fillId="30" borderId="46" xfId="105" applyFont="1" applyBorder="1" applyAlignment="1">
      <alignment wrapText="1"/>
    </xf>
    <xf numFmtId="0" fontId="48" fillId="30" borderId="19" xfId="105" applyFont="1" applyBorder="1"/>
    <xf numFmtId="0" fontId="48" fillId="30" borderId="52" xfId="105" applyFont="1" applyBorder="1" applyAlignment="1">
      <alignment wrapText="1"/>
    </xf>
    <xf numFmtId="0" fontId="48" fillId="32" borderId="19" xfId="105" applyFont="1" applyFill="1" applyBorder="1" applyAlignment="1">
      <alignment horizontal="center" vertical="center"/>
    </xf>
    <xf numFmtId="0" fontId="48" fillId="32" borderId="20" xfId="105" applyFont="1" applyFill="1" applyBorder="1" applyAlignment="1">
      <alignment horizontal="center" vertical="center"/>
    </xf>
    <xf numFmtId="0" fontId="48" fillId="29" borderId="2" xfId="104" applyFont="1" applyBorder="1" applyAlignment="1">
      <alignment horizontal="center" vertical="center"/>
    </xf>
    <xf numFmtId="0" fontId="48" fillId="29" borderId="0" xfId="104" applyFont="1" applyBorder="1" applyAlignment="1">
      <alignment horizontal="left" vertical="center"/>
    </xf>
    <xf numFmtId="0" fontId="48" fillId="29" borderId="0" xfId="104" applyFont="1" applyBorder="1" applyAlignment="1">
      <alignment horizontal="center" vertical="center"/>
    </xf>
    <xf numFmtId="0" fontId="35" fillId="2" borderId="56" xfId="0" applyFont="1" applyFill="1" applyBorder="1" applyAlignment="1">
      <alignment horizontal="center" vertical="center"/>
    </xf>
    <xf numFmtId="0" fontId="35" fillId="2" borderId="45" xfId="0" applyFont="1" applyFill="1" applyBorder="1" applyAlignment="1">
      <alignment horizontal="left" vertical="center"/>
    </xf>
    <xf numFmtId="0" fontId="35" fillId="2" borderId="45" xfId="0" applyFont="1" applyFill="1" applyBorder="1" applyAlignment="1">
      <alignment horizontal="center" vertical="center"/>
    </xf>
    <xf numFmtId="0" fontId="35" fillId="2" borderId="57" xfId="0" applyFont="1" applyFill="1" applyBorder="1" applyAlignment="1">
      <alignment horizontal="center" vertical="center"/>
    </xf>
    <xf numFmtId="0" fontId="48" fillId="31" borderId="21" xfId="106" applyFont="1" applyBorder="1" applyAlignment="1">
      <alignment horizontal="center" wrapText="1"/>
    </xf>
    <xf numFmtId="0" fontId="48" fillId="31" borderId="22" xfId="106" applyFont="1" applyBorder="1" applyAlignment="1">
      <alignment horizontal="left" wrapText="1"/>
    </xf>
    <xf numFmtId="0" fontId="48" fillId="31" borderId="22" xfId="106" applyFont="1" applyBorder="1" applyAlignment="1">
      <alignment horizontal="center" wrapText="1"/>
    </xf>
    <xf numFmtId="0" fontId="48" fillId="30" borderId="2" xfId="105" applyFont="1" applyBorder="1"/>
    <xf numFmtId="0" fontId="48" fillId="30" borderId="19" xfId="105" applyFont="1" applyBorder="1" applyAlignment="1">
      <alignment wrapText="1"/>
    </xf>
    <xf numFmtId="0" fontId="48" fillId="30" borderId="20" xfId="105" applyFont="1" applyBorder="1" applyAlignment="1">
      <alignment wrapText="1"/>
    </xf>
    <xf numFmtId="0" fontId="48" fillId="30" borderId="2" xfId="105" applyFont="1" applyBorder="1" applyAlignment="1">
      <alignment horizontal="center" vertical="center"/>
    </xf>
    <xf numFmtId="0" fontId="48" fillId="30" borderId="0" xfId="105" applyFont="1" applyBorder="1" applyAlignment="1">
      <alignment horizontal="center" vertical="center"/>
    </xf>
    <xf numFmtId="44" fontId="48" fillId="30" borderId="0" xfId="105" applyNumberFormat="1" applyFont="1" applyBorder="1" applyAlignment="1">
      <alignment horizontal="center" vertical="center"/>
    </xf>
    <xf numFmtId="0" fontId="35" fillId="2" borderId="21" xfId="0" applyFont="1" applyFill="1" applyBorder="1" applyAlignment="1">
      <alignment horizontal="center" vertical="center"/>
    </xf>
    <xf numFmtId="0" fontId="35" fillId="2" borderId="22" xfId="0" applyFont="1" applyFill="1" applyBorder="1" applyAlignment="1">
      <alignment horizontal="center" vertical="center"/>
    </xf>
    <xf numFmtId="0" fontId="48" fillId="30" borderId="58" xfId="105" applyFont="1" applyBorder="1" applyAlignment="1">
      <alignment wrapText="1"/>
    </xf>
    <xf numFmtId="0" fontId="48" fillId="30" borderId="54" xfId="105" applyFont="1" applyBorder="1" applyAlignment="1">
      <alignment wrapText="1"/>
    </xf>
    <xf numFmtId="44" fontId="48" fillId="30" borderId="2" xfId="105" applyNumberFormat="1" applyFont="1" applyBorder="1" applyAlignment="1">
      <alignment horizontal="center" vertical="center"/>
    </xf>
    <xf numFmtId="44" fontId="35" fillId="2" borderId="2" xfId="0" applyNumberFormat="1" applyFont="1" applyFill="1" applyBorder="1" applyAlignment="1">
      <alignment horizontal="center" vertical="center"/>
    </xf>
    <xf numFmtId="44" fontId="35" fillId="2" borderId="0" xfId="0" applyNumberFormat="1" applyFont="1" applyFill="1" applyAlignment="1">
      <alignment horizontal="center" vertical="center"/>
    </xf>
    <xf numFmtId="44" fontId="35" fillId="2" borderId="3" xfId="0" applyNumberFormat="1" applyFont="1" applyFill="1" applyBorder="1" applyAlignment="1">
      <alignment horizontal="center" vertical="center"/>
    </xf>
    <xf numFmtId="0" fontId="48" fillId="29" borderId="45" xfId="104" applyFont="1" applyBorder="1" applyAlignment="1">
      <alignment horizontal="left" vertical="center"/>
    </xf>
    <xf numFmtId="0" fontId="48" fillId="30" borderId="51" xfId="105" applyFont="1" applyBorder="1" applyAlignment="1">
      <alignment wrapText="1"/>
    </xf>
    <xf numFmtId="0" fontId="48" fillId="30" borderId="56" xfId="105" applyFont="1" applyBorder="1" applyAlignment="1">
      <alignment horizontal="center" vertical="center"/>
    </xf>
    <xf numFmtId="0" fontId="48" fillId="30" borderId="45" xfId="105" applyFont="1" applyBorder="1" applyAlignment="1">
      <alignment horizontal="center" vertical="center"/>
    </xf>
    <xf numFmtId="0" fontId="48" fillId="31" borderId="25" xfId="106" applyFont="1" applyBorder="1"/>
    <xf numFmtId="0" fontId="48" fillId="30" borderId="2" xfId="105" applyFont="1" applyBorder="1" applyAlignment="1">
      <alignment wrapText="1"/>
    </xf>
    <xf numFmtId="0" fontId="48" fillId="30" borderId="0" xfId="105" applyFont="1" applyBorder="1" applyAlignment="1">
      <alignment wrapText="1"/>
    </xf>
    <xf numFmtId="0" fontId="48" fillId="31" borderId="2" xfId="106" applyFont="1" applyBorder="1" applyAlignment="1">
      <alignment horizontal="center" wrapText="1"/>
    </xf>
    <xf numFmtId="0" fontId="48" fillId="31" borderId="0" xfId="106" applyFont="1" applyBorder="1" applyAlignment="1">
      <alignment horizontal="left" wrapText="1"/>
    </xf>
    <xf numFmtId="0" fontId="48" fillId="31" borderId="0" xfId="106" applyFont="1" applyBorder="1" applyAlignment="1">
      <alignment horizontal="center" wrapText="1"/>
    </xf>
    <xf numFmtId="0" fontId="48" fillId="7" borderId="0" xfId="105" applyFont="1" applyFill="1" applyBorder="1" applyAlignment="1">
      <alignment wrapText="1"/>
    </xf>
    <xf numFmtId="44" fontId="48" fillId="7" borderId="0" xfId="105" applyNumberFormat="1" applyFont="1" applyFill="1" applyBorder="1" applyAlignment="1">
      <alignment horizontal="center" vertical="center"/>
    </xf>
    <xf numFmtId="0" fontId="48" fillId="30" borderId="19" xfId="105" applyFont="1" applyBorder="1" applyAlignment="1">
      <alignment horizontal="center" vertical="center"/>
    </xf>
    <xf numFmtId="0" fontId="48" fillId="30" borderId="20" xfId="105" applyFont="1" applyBorder="1" applyAlignment="1">
      <alignment horizontal="center" vertical="center"/>
    </xf>
    <xf numFmtId="0" fontId="48" fillId="29" borderId="24" xfId="104" applyFont="1" applyBorder="1" applyAlignment="1">
      <alignment horizontal="center" vertical="center"/>
    </xf>
    <xf numFmtId="0" fontId="48" fillId="29" borderId="25" xfId="104" applyFont="1" applyBorder="1" applyAlignment="1">
      <alignment horizontal="left" vertical="center"/>
    </xf>
    <xf numFmtId="0" fontId="48" fillId="29" borderId="25" xfId="104" applyFont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5" fillId="2" borderId="3" xfId="0" applyFont="1" applyFill="1" applyBorder="1" applyAlignment="1">
      <alignment horizontal="center" vertical="center"/>
    </xf>
    <xf numFmtId="0" fontId="48" fillId="0" borderId="0" xfId="104" applyFont="1" applyFill="1" applyBorder="1" applyAlignment="1">
      <alignment horizontal="center" vertical="center"/>
    </xf>
    <xf numFmtId="0" fontId="48" fillId="0" borderId="3" xfId="104" applyFont="1" applyFill="1" applyBorder="1" applyAlignment="1">
      <alignment horizontal="center" vertical="center"/>
    </xf>
    <xf numFmtId="0" fontId="48" fillId="31" borderId="19" xfId="106" applyFont="1" applyBorder="1" applyAlignment="1">
      <alignment horizontal="center" wrapText="1"/>
    </xf>
    <xf numFmtId="0" fontId="48" fillId="31" borderId="20" xfId="106" applyFont="1" applyBorder="1" applyAlignment="1">
      <alignment horizontal="left" wrapText="1"/>
    </xf>
    <xf numFmtId="0" fontId="48" fillId="31" borderId="20" xfId="106" applyFont="1" applyBorder="1" applyAlignment="1">
      <alignment horizontal="center" wrapText="1"/>
    </xf>
    <xf numFmtId="0" fontId="48" fillId="30" borderId="32" xfId="105" applyFont="1" applyBorder="1" applyAlignment="1">
      <alignment horizontal="center"/>
    </xf>
    <xf numFmtId="0" fontId="48" fillId="30" borderId="30" xfId="105" applyFont="1" applyBorder="1"/>
    <xf numFmtId="0" fontId="48" fillId="30" borderId="31" xfId="105" applyFont="1" applyBorder="1" applyAlignment="1">
      <alignment horizontal="center"/>
    </xf>
    <xf numFmtId="14" fontId="48" fillId="0" borderId="2" xfId="0" applyNumberFormat="1" applyFont="1" applyBorder="1" applyAlignment="1">
      <alignment horizontal="left"/>
    </xf>
    <xf numFmtId="0" fontId="48" fillId="2" borderId="3" xfId="0" applyFont="1" applyFill="1" applyBorder="1"/>
    <xf numFmtId="0" fontId="48" fillId="0" borderId="2" xfId="0" applyFont="1" applyBorder="1"/>
    <xf numFmtId="167" fontId="48" fillId="2" borderId="3" xfId="29" applyFont="1" applyFill="1" applyBorder="1" applyAlignment="1" applyProtection="1"/>
    <xf numFmtId="44" fontId="48" fillId="2" borderId="0" xfId="29" applyNumberFormat="1" applyFont="1" applyFill="1" applyBorder="1" applyAlignment="1" applyProtection="1"/>
    <xf numFmtId="9" fontId="48" fillId="2" borderId="0" xfId="0" applyNumberFormat="1" applyFont="1" applyFill="1" applyAlignment="1">
      <alignment horizontal="center"/>
    </xf>
    <xf numFmtId="44" fontId="35" fillId="2" borderId="0" xfId="29" applyNumberFormat="1" applyFont="1" applyFill="1" applyBorder="1" applyAlignment="1" applyProtection="1"/>
    <xf numFmtId="44" fontId="48" fillId="0" borderId="0" xfId="29" applyNumberFormat="1" applyFont="1" applyFill="1" applyBorder="1" applyAlignment="1" applyProtection="1"/>
    <xf numFmtId="167" fontId="35" fillId="0" borderId="3" xfId="29" applyFont="1" applyFill="1" applyBorder="1" applyAlignment="1" applyProtection="1"/>
    <xf numFmtId="10" fontId="48" fillId="2" borderId="0" xfId="0" applyNumberFormat="1" applyFont="1" applyFill="1" applyAlignment="1">
      <alignment horizontal="center"/>
    </xf>
    <xf numFmtId="4" fontId="48" fillId="0" borderId="0" xfId="0" applyNumberFormat="1" applyFont="1" applyAlignment="1">
      <alignment horizontal="center"/>
    </xf>
    <xf numFmtId="43" fontId="48" fillId="2" borderId="3" xfId="0" applyNumberFormat="1" applyFont="1" applyFill="1" applyBorder="1"/>
    <xf numFmtId="0" fontId="48" fillId="2" borderId="2" xfId="0" applyFont="1" applyFill="1" applyBorder="1"/>
    <xf numFmtId="167" fontId="35" fillId="2" borderId="0" xfId="29" applyFont="1" applyFill="1" applyBorder="1" applyAlignment="1" applyProtection="1">
      <alignment horizontal="right"/>
    </xf>
    <xf numFmtId="167" fontId="35" fillId="2" borderId="0" xfId="29" applyFont="1" applyFill="1" applyBorder="1" applyAlignment="1" applyProtection="1"/>
    <xf numFmtId="167" fontId="35" fillId="0" borderId="0" xfId="29" applyFont="1" applyFill="1" applyBorder="1" applyAlignment="1" applyProtection="1">
      <alignment horizontal="right"/>
    </xf>
    <xf numFmtId="167" fontId="35" fillId="0" borderId="0" xfId="29" applyFont="1" applyFill="1" applyBorder="1" applyAlignment="1" applyProtection="1"/>
    <xf numFmtId="0" fontId="48" fillId="0" borderId="3" xfId="0" applyFont="1" applyBorder="1"/>
    <xf numFmtId="0" fontId="35" fillId="0" borderId="21" xfId="0" applyFont="1" applyBorder="1"/>
    <xf numFmtId="0" fontId="35" fillId="0" borderId="22" xfId="0" applyFont="1" applyBorder="1"/>
    <xf numFmtId="0" fontId="48" fillId="0" borderId="19" xfId="0" applyFont="1" applyBorder="1"/>
    <xf numFmtId="0" fontId="48" fillId="2" borderId="20" xfId="0" applyFont="1" applyFill="1" applyBorder="1"/>
    <xf numFmtId="0" fontId="48" fillId="2" borderId="20" xfId="0" applyFont="1" applyFill="1" applyBorder="1" applyAlignment="1">
      <alignment horizontal="center"/>
    </xf>
    <xf numFmtId="167" fontId="48" fillId="2" borderId="18" xfId="29" applyFont="1" applyFill="1" applyBorder="1" applyAlignment="1" applyProtection="1"/>
    <xf numFmtId="167" fontId="48" fillId="2" borderId="0" xfId="29" applyFont="1" applyFill="1" applyBorder="1" applyAlignment="1" applyProtection="1"/>
    <xf numFmtId="10" fontId="48" fillId="0" borderId="0" xfId="0" applyNumberFormat="1" applyFont="1" applyAlignment="1">
      <alignment horizontal="center"/>
    </xf>
    <xf numFmtId="167" fontId="48" fillId="0" borderId="3" xfId="29" applyFont="1" applyFill="1" applyBorder="1" applyAlignment="1" applyProtection="1"/>
    <xf numFmtId="0" fontId="48" fillId="2" borderId="3" xfId="0" applyFont="1" applyFill="1" applyBorder="1" applyAlignment="1">
      <alignment wrapText="1"/>
    </xf>
    <xf numFmtId="0" fontId="48" fillId="0" borderId="20" xfId="0" applyFont="1" applyBorder="1" applyAlignment="1">
      <alignment horizontal="center"/>
    </xf>
    <xf numFmtId="0" fontId="48" fillId="0" borderId="21" xfId="0" applyFont="1" applyBorder="1"/>
    <xf numFmtId="0" fontId="48" fillId="2" borderId="22" xfId="0" applyFont="1" applyFill="1" applyBorder="1"/>
    <xf numFmtId="0" fontId="48" fillId="2" borderId="22" xfId="0" applyFont="1" applyFill="1" applyBorder="1" applyAlignment="1">
      <alignment horizontal="center"/>
    </xf>
    <xf numFmtId="167" fontId="48" fillId="2" borderId="5" xfId="29" applyFont="1" applyFill="1" applyBorder="1" applyAlignment="1" applyProtection="1"/>
    <xf numFmtId="2" fontId="48" fillId="2" borderId="22" xfId="0" applyNumberFormat="1" applyFont="1" applyFill="1" applyBorder="1" applyAlignment="1">
      <alignment horizontal="center"/>
    </xf>
    <xf numFmtId="44" fontId="48" fillId="2" borderId="22" xfId="29" applyNumberFormat="1" applyFont="1" applyFill="1" applyBorder="1" applyAlignment="1" applyProtection="1"/>
    <xf numFmtId="2" fontId="48" fillId="2" borderId="20" xfId="0" applyNumberFormat="1" applyFont="1" applyFill="1" applyBorder="1" applyAlignment="1">
      <alignment horizontal="center"/>
    </xf>
    <xf numFmtId="44" fontId="48" fillId="2" borderId="22" xfId="0" applyNumberFormat="1" applyFont="1" applyFill="1" applyBorder="1"/>
    <xf numFmtId="44" fontId="48" fillId="2" borderId="0" xfId="0" applyNumberFormat="1" applyFont="1" applyFill="1"/>
    <xf numFmtId="44" fontId="48" fillId="2" borderId="20" xfId="0" applyNumberFormat="1" applyFont="1" applyFill="1" applyBorder="1"/>
    <xf numFmtId="44" fontId="48" fillId="2" borderId="0" xfId="29" applyNumberFormat="1" applyFont="1" applyFill="1" applyBorder="1" applyAlignment="1" applyProtection="1">
      <alignment horizontal="center"/>
    </xf>
    <xf numFmtId="0" fontId="48" fillId="0" borderId="24" xfId="0" applyFont="1" applyBorder="1"/>
    <xf numFmtId="0" fontId="48" fillId="2" borderId="25" xfId="0" applyFont="1" applyFill="1" applyBorder="1"/>
    <xf numFmtId="0" fontId="48" fillId="0" borderId="2" xfId="0" applyFont="1" applyBorder="1" applyAlignment="1">
      <alignment horizontal="left" vertical="center"/>
    </xf>
    <xf numFmtId="44" fontId="48" fillId="2" borderId="0" xfId="0" applyNumberFormat="1" applyFont="1" applyFill="1" applyAlignment="1">
      <alignment vertical="center"/>
    </xf>
    <xf numFmtId="9" fontId="48" fillId="2" borderId="0" xfId="0" applyNumberFormat="1" applyFont="1" applyFill="1" applyAlignment="1">
      <alignment vertical="center" wrapText="1"/>
    </xf>
    <xf numFmtId="0" fontId="48" fillId="2" borderId="2" xfId="0" applyFont="1" applyFill="1" applyBorder="1" applyAlignment="1">
      <alignment wrapText="1"/>
    </xf>
    <xf numFmtId="0" fontId="48" fillId="2" borderId="0" xfId="0" applyFont="1" applyFill="1" applyAlignment="1">
      <alignment wrapText="1"/>
    </xf>
    <xf numFmtId="0" fontId="48" fillId="0" borderId="2" xfId="0" applyFont="1" applyBorder="1" applyAlignment="1">
      <alignment horizontal="center" vertical="center"/>
    </xf>
    <xf numFmtId="44" fontId="48" fillId="0" borderId="0" xfId="0" applyNumberFormat="1" applyFont="1"/>
    <xf numFmtId="0" fontId="48" fillId="0" borderId="0" xfId="0" applyFont="1" applyAlignment="1">
      <alignment wrapText="1"/>
    </xf>
    <xf numFmtId="9" fontId="48" fillId="0" borderId="0" xfId="0" applyNumberFormat="1" applyFont="1" applyAlignment="1">
      <alignment horizontal="center" vertical="center"/>
    </xf>
    <xf numFmtId="44" fontId="48" fillId="0" borderId="0" xfId="0" applyNumberFormat="1" applyFont="1" applyAlignment="1">
      <alignment vertical="center"/>
    </xf>
    <xf numFmtId="9" fontId="48" fillId="0" borderId="0" xfId="0" applyNumberFormat="1" applyFont="1" applyAlignment="1">
      <alignment wrapText="1"/>
    </xf>
    <xf numFmtId="0" fontId="48" fillId="2" borderId="58" xfId="0" applyFont="1" applyFill="1" applyBorder="1" applyAlignment="1">
      <alignment wrapText="1"/>
    </xf>
    <xf numFmtId="0" fontId="48" fillId="2" borderId="54" xfId="0" applyFont="1" applyFill="1" applyBorder="1" applyAlignment="1">
      <alignment wrapText="1"/>
    </xf>
    <xf numFmtId="0" fontId="48" fillId="2" borderId="55" xfId="0" applyFont="1" applyFill="1" applyBorder="1" applyAlignment="1">
      <alignment wrapText="1"/>
    </xf>
    <xf numFmtId="0" fontId="48" fillId="2" borderId="21" xfId="0" applyFont="1" applyFill="1" applyBorder="1"/>
    <xf numFmtId="9" fontId="48" fillId="2" borderId="22" xfId="0" applyNumberFormat="1" applyFont="1" applyFill="1" applyBorder="1" applyAlignment="1">
      <alignment horizontal="center"/>
    </xf>
    <xf numFmtId="167" fontId="48" fillId="2" borderId="0" xfId="0" applyNumberFormat="1" applyFont="1" applyFill="1"/>
    <xf numFmtId="167" fontId="48" fillId="2" borderId="3" xfId="0" applyNumberFormat="1" applyFont="1" applyFill="1" applyBorder="1"/>
    <xf numFmtId="0" fontId="48" fillId="0" borderId="22" xfId="0" applyFont="1" applyBorder="1"/>
    <xf numFmtId="0" fontId="48" fillId="0" borderId="22" xfId="0" applyFont="1" applyBorder="1" applyAlignment="1">
      <alignment horizontal="center"/>
    </xf>
    <xf numFmtId="2" fontId="48" fillId="0" borderId="22" xfId="0" applyNumberFormat="1" applyFont="1" applyBorder="1" applyAlignment="1">
      <alignment horizontal="center"/>
    </xf>
    <xf numFmtId="0" fontId="48" fillId="0" borderId="5" xfId="0" applyFont="1" applyBorder="1"/>
    <xf numFmtId="0" fontId="48" fillId="0" borderId="20" xfId="0" applyFont="1" applyBorder="1"/>
    <xf numFmtId="167" fontId="48" fillId="2" borderId="20" xfId="0" applyNumberFormat="1" applyFont="1" applyFill="1" applyBorder="1"/>
    <xf numFmtId="167" fontId="48" fillId="2" borderId="18" xfId="29" applyFont="1" applyFill="1" applyBorder="1" applyAlignment="1" applyProtection="1">
      <alignment horizontal="center"/>
    </xf>
    <xf numFmtId="4" fontId="48" fillId="2" borderId="0" xfId="29" applyNumberFormat="1" applyFont="1" applyFill="1" applyBorder="1" applyAlignment="1">
      <alignment horizontal="center"/>
    </xf>
    <xf numFmtId="0" fontId="35" fillId="2" borderId="2" xfId="0" applyFont="1" applyFill="1" applyBorder="1"/>
    <xf numFmtId="0" fontId="35" fillId="2" borderId="3" xfId="0" applyFont="1" applyFill="1" applyBorder="1"/>
    <xf numFmtId="167" fontId="48" fillId="0" borderId="0" xfId="29" applyFont="1" applyFill="1" applyBorder="1" applyAlignment="1" applyProtection="1"/>
    <xf numFmtId="9" fontId="48" fillId="2" borderId="22" xfId="7" applyFont="1" applyFill="1" applyBorder="1" applyAlignment="1">
      <alignment horizontal="center"/>
    </xf>
    <xf numFmtId="0" fontId="48" fillId="2" borderId="5" xfId="0" applyFont="1" applyFill="1" applyBorder="1"/>
    <xf numFmtId="0" fontId="48" fillId="0" borderId="2" xfId="0" applyFont="1" applyBorder="1" applyAlignment="1">
      <alignment vertical="center"/>
    </xf>
    <xf numFmtId="44" fontId="48" fillId="0" borderId="0" xfId="0" applyNumberFormat="1" applyFont="1" applyAlignment="1">
      <alignment horizontal="center" vertical="center"/>
    </xf>
    <xf numFmtId="0" fontId="48" fillId="0" borderId="39" xfId="0" applyFont="1" applyBorder="1" applyAlignment="1">
      <alignment horizontal="center"/>
    </xf>
    <xf numFmtId="0" fontId="48" fillId="0" borderId="27" xfId="0" applyFont="1" applyBorder="1" applyAlignment="1">
      <alignment horizontal="justify" vertical="distributed"/>
    </xf>
    <xf numFmtId="2" fontId="48" fillId="0" borderId="13" xfId="0" applyNumberFormat="1" applyFont="1" applyBorder="1" applyAlignment="1">
      <alignment horizontal="center"/>
    </xf>
    <xf numFmtId="0" fontId="48" fillId="0" borderId="27" xfId="0" applyFont="1" applyBorder="1"/>
    <xf numFmtId="2" fontId="48" fillId="0" borderId="29" xfId="0" applyNumberFormat="1" applyFont="1" applyBorder="1" applyAlignment="1">
      <alignment horizontal="center"/>
    </xf>
    <xf numFmtId="43" fontId="48" fillId="2" borderId="0" xfId="0" applyNumberFormat="1" applyFont="1" applyFill="1"/>
    <xf numFmtId="167" fontId="48" fillId="2" borderId="0" xfId="29" applyFont="1" applyFill="1"/>
    <xf numFmtId="0" fontId="48" fillId="31" borderId="48" xfId="106" applyFont="1" applyBorder="1" applyAlignment="1">
      <alignment horizontal="left"/>
    </xf>
    <xf numFmtId="44" fontId="35" fillId="32" borderId="2" xfId="0" applyNumberFormat="1" applyFont="1" applyFill="1" applyBorder="1" applyAlignment="1">
      <alignment horizontal="center" vertical="center"/>
    </xf>
    <xf numFmtId="44" fontId="35" fillId="32" borderId="0" xfId="0" applyNumberFormat="1" applyFont="1" applyFill="1" applyAlignment="1">
      <alignment horizontal="center" vertical="center"/>
    </xf>
    <xf numFmtId="0" fontId="35" fillId="32" borderId="2" xfId="0" applyFont="1" applyFill="1" applyBorder="1" applyAlignment="1">
      <alignment horizontal="center" vertical="center"/>
    </xf>
    <xf numFmtId="0" fontId="35" fillId="32" borderId="3" xfId="0" applyFont="1" applyFill="1" applyBorder="1" applyAlignment="1">
      <alignment horizontal="center" vertical="center"/>
    </xf>
    <xf numFmtId="0" fontId="35" fillId="32" borderId="56" xfId="0" applyFont="1" applyFill="1" applyBorder="1" applyAlignment="1">
      <alignment horizontal="center" vertical="center"/>
    </xf>
    <xf numFmtId="0" fontId="35" fillId="32" borderId="45" xfId="0" applyFont="1" applyFill="1" applyBorder="1" applyAlignment="1">
      <alignment horizontal="left" vertical="center"/>
    </xf>
    <xf numFmtId="0" fontId="35" fillId="32" borderId="45" xfId="0" applyFont="1" applyFill="1" applyBorder="1" applyAlignment="1">
      <alignment horizontal="center" vertical="center"/>
    </xf>
    <xf numFmtId="0" fontId="35" fillId="32" borderId="57" xfId="0" applyFont="1" applyFill="1" applyBorder="1" applyAlignment="1">
      <alignment horizontal="center" vertical="center"/>
    </xf>
    <xf numFmtId="0" fontId="48" fillId="31" borderId="24" xfId="106" applyFont="1" applyBorder="1" applyAlignment="1">
      <alignment horizontal="center" wrapText="1"/>
    </xf>
    <xf numFmtId="0" fontId="59" fillId="2" borderId="0" xfId="1" applyFont="1" applyFill="1" applyAlignment="1" applyProtection="1"/>
    <xf numFmtId="8" fontId="59" fillId="0" borderId="0" xfId="1" applyNumberFormat="1" applyFont="1" applyAlignment="1" applyProtection="1"/>
    <xf numFmtId="0" fontId="59" fillId="0" borderId="0" xfId="1" applyFont="1" applyAlignment="1" applyProtection="1">
      <alignment horizontal="left"/>
    </xf>
    <xf numFmtId="0" fontId="48" fillId="2" borderId="21" xfId="0" quotePrefix="1" applyFont="1" applyFill="1" applyBorder="1"/>
    <xf numFmtId="167" fontId="48" fillId="0" borderId="0" xfId="29" applyFont="1" applyFill="1" applyBorder="1" applyAlignment="1" applyProtection="1">
      <alignment vertical="center"/>
    </xf>
    <xf numFmtId="167" fontId="48" fillId="0" borderId="0" xfId="29" applyFont="1" applyFill="1" applyBorder="1"/>
    <xf numFmtId="167" fontId="48" fillId="0" borderId="0" xfId="29" applyFont="1" applyFill="1" applyBorder="1" applyAlignment="1" applyProtection="1">
      <alignment horizontal="center" vertical="center"/>
    </xf>
    <xf numFmtId="43" fontId="50" fillId="0" borderId="0" xfId="0" applyNumberFormat="1" applyFont="1"/>
    <xf numFmtId="0" fontId="49" fillId="2" borderId="0" xfId="0" applyFont="1" applyFill="1"/>
    <xf numFmtId="0" fontId="49" fillId="0" borderId="0" xfId="0" applyFont="1"/>
    <xf numFmtId="0" fontId="50" fillId="2" borderId="0" xfId="0" applyFont="1" applyFill="1" applyAlignment="1">
      <alignment horizontal="left"/>
    </xf>
    <xf numFmtId="43" fontId="50" fillId="2" borderId="0" xfId="0" applyNumberFormat="1" applyFont="1" applyFill="1"/>
    <xf numFmtId="44" fontId="50" fillId="2" borderId="0" xfId="0" applyNumberFormat="1" applyFont="1" applyFill="1"/>
    <xf numFmtId="167" fontId="50" fillId="0" borderId="0" xfId="29" applyFont="1" applyFill="1" applyBorder="1" applyAlignment="1" applyProtection="1">
      <alignment vertical="center"/>
    </xf>
    <xf numFmtId="167" fontId="50" fillId="0" borderId="0" xfId="29" applyFont="1" applyFill="1" applyBorder="1" applyAlignment="1" applyProtection="1">
      <alignment horizontal="center" vertical="center"/>
    </xf>
    <xf numFmtId="4" fontId="50" fillId="0" borderId="0" xfId="0" applyNumberFormat="1" applyFont="1" applyAlignment="1">
      <alignment horizontal="center"/>
    </xf>
    <xf numFmtId="44" fontId="35" fillId="7" borderId="0" xfId="0" applyNumberFormat="1" applyFont="1" applyFill="1" applyAlignment="1">
      <alignment horizontal="center" vertical="center"/>
    </xf>
    <xf numFmtId="0" fontId="48" fillId="32" borderId="21" xfId="104" applyFont="1" applyFill="1" applyBorder="1" applyAlignment="1">
      <alignment horizontal="center" vertical="center"/>
    </xf>
    <xf numFmtId="0" fontId="48" fillId="32" borderId="22" xfId="104" applyFont="1" applyFill="1" applyBorder="1" applyAlignment="1">
      <alignment horizontal="left" vertical="center"/>
    </xf>
    <xf numFmtId="0" fontId="48" fillId="32" borderId="22" xfId="104" applyFont="1" applyFill="1" applyBorder="1" applyAlignment="1">
      <alignment horizontal="center" vertical="center"/>
    </xf>
    <xf numFmtId="0" fontId="48" fillId="30" borderId="19" xfId="105" applyFont="1" applyBorder="1" applyAlignment="1"/>
    <xf numFmtId="0" fontId="48" fillId="0" borderId="2" xfId="105" applyFont="1" applyFill="1" applyBorder="1" applyAlignment="1"/>
    <xf numFmtId="0" fontId="48" fillId="0" borderId="0" xfId="105" applyFont="1" applyFill="1" applyBorder="1" applyAlignment="1">
      <alignment wrapText="1"/>
    </xf>
    <xf numFmtId="44" fontId="35" fillId="7" borderId="2" xfId="0" applyNumberFormat="1" applyFont="1" applyFill="1" applyBorder="1" applyAlignment="1">
      <alignment horizontal="center" vertical="center"/>
    </xf>
    <xf numFmtId="0" fontId="35" fillId="32" borderId="47" xfId="106" applyFont="1" applyFill="1" applyBorder="1" applyAlignment="1">
      <alignment horizontal="center" wrapText="1"/>
    </xf>
    <xf numFmtId="0" fontId="35" fillId="32" borderId="48" xfId="106" applyFont="1" applyFill="1" applyBorder="1" applyAlignment="1">
      <alignment horizontal="left" wrapText="1"/>
    </xf>
    <xf numFmtId="0" fontId="35" fillId="32" borderId="48" xfId="106" applyFont="1" applyFill="1" applyBorder="1" applyAlignment="1">
      <alignment horizontal="center" wrapText="1"/>
    </xf>
    <xf numFmtId="0" fontId="41" fillId="2" borderId="56" xfId="0" applyFont="1" applyFill="1" applyBorder="1" applyAlignment="1">
      <alignment horizontal="center" vertical="center"/>
    </xf>
    <xf numFmtId="0" fontId="41" fillId="2" borderId="45" xfId="0" applyFont="1" applyFill="1" applyBorder="1" applyAlignment="1">
      <alignment horizontal="left" vertical="center"/>
    </xf>
    <xf numFmtId="0" fontId="41" fillId="2" borderId="45" xfId="0" applyFont="1" applyFill="1" applyBorder="1" applyAlignment="1">
      <alignment horizontal="center" vertical="center"/>
    </xf>
    <xf numFmtId="0" fontId="48" fillId="30" borderId="0" xfId="105" applyFont="1" applyBorder="1" applyAlignment="1"/>
    <xf numFmtId="0" fontId="48" fillId="0" borderId="0" xfId="105" applyFont="1" applyFill="1" applyBorder="1" applyAlignment="1"/>
    <xf numFmtId="44" fontId="41" fillId="2" borderId="2" xfId="0" applyNumberFormat="1" applyFont="1" applyFill="1" applyBorder="1" applyAlignment="1">
      <alignment horizontal="center" vertical="center"/>
    </xf>
    <xf numFmtId="44" fontId="41" fillId="2" borderId="0" xfId="0" applyNumberFormat="1" applyFont="1" applyFill="1" applyAlignment="1">
      <alignment horizontal="center" vertical="center"/>
    </xf>
    <xf numFmtId="0" fontId="48" fillId="32" borderId="47" xfId="106" applyFont="1" applyFill="1" applyBorder="1" applyAlignment="1">
      <alignment horizontal="center" wrapText="1"/>
    </xf>
    <xf numFmtId="0" fontId="48" fillId="32" borderId="48" xfId="106" applyFont="1" applyFill="1" applyBorder="1" applyAlignment="1">
      <alignment horizontal="left" wrapText="1"/>
    </xf>
    <xf numFmtId="0" fontId="48" fillId="32" borderId="48" xfId="106" applyFont="1" applyFill="1" applyBorder="1" applyAlignment="1">
      <alignment horizontal="center" wrapText="1"/>
    </xf>
    <xf numFmtId="0" fontId="48" fillId="0" borderId="21" xfId="106" applyFont="1" applyFill="1" applyBorder="1" applyAlignment="1">
      <alignment horizontal="center" wrapText="1"/>
    </xf>
    <xf numFmtId="0" fontId="48" fillId="0" borderId="22" xfId="106" applyFont="1" applyFill="1" applyBorder="1" applyAlignment="1">
      <alignment horizontal="left" wrapText="1"/>
    </xf>
    <xf numFmtId="0" fontId="48" fillId="0" borderId="22" xfId="106" applyFont="1" applyFill="1" applyBorder="1" applyAlignment="1">
      <alignment horizontal="center" wrapText="1"/>
    </xf>
    <xf numFmtId="0" fontId="48" fillId="32" borderId="2" xfId="104" applyFont="1" applyFill="1" applyBorder="1" applyAlignment="1">
      <alignment horizontal="center" vertical="center"/>
    </xf>
    <xf numFmtId="0" fontId="48" fillId="32" borderId="0" xfId="104" applyFont="1" applyFill="1" applyBorder="1" applyAlignment="1">
      <alignment horizontal="left" vertical="center"/>
    </xf>
    <xf numFmtId="0" fontId="48" fillId="32" borderId="0" xfId="104" applyFont="1" applyFill="1" applyBorder="1" applyAlignment="1">
      <alignment horizontal="center" vertical="center"/>
    </xf>
    <xf numFmtId="0" fontId="35" fillId="2" borderId="0" xfId="0" applyFont="1" applyFill="1" applyAlignment="1">
      <alignment horizontal="left" wrapText="1"/>
    </xf>
    <xf numFmtId="0" fontId="60" fillId="2" borderId="0" xfId="1" applyFont="1" applyFill="1" applyAlignment="1" applyProtection="1"/>
    <xf numFmtId="8" fontId="48" fillId="2" borderId="0" xfId="0" applyNumberFormat="1" applyFont="1" applyFill="1"/>
    <xf numFmtId="8" fontId="60" fillId="0" borderId="0" xfId="1" applyNumberFormat="1" applyFont="1" applyAlignment="1" applyProtection="1"/>
    <xf numFmtId="9" fontId="48" fillId="2" borderId="0" xfId="7" applyFont="1" applyFill="1" applyBorder="1" applyAlignment="1" applyProtection="1"/>
    <xf numFmtId="0" fontId="60" fillId="0" borderId="0" xfId="1" applyFont="1" applyAlignment="1" applyProtection="1">
      <alignment horizontal="left"/>
    </xf>
    <xf numFmtId="0" fontId="61" fillId="2" borderId="0" xfId="0" applyFont="1" applyFill="1"/>
    <xf numFmtId="43" fontId="48" fillId="2" borderId="0" xfId="0" applyNumberFormat="1" applyFont="1" applyFill="1" applyAlignment="1">
      <alignment wrapText="1"/>
    </xf>
    <xf numFmtId="167" fontId="48" fillId="2" borderId="0" xfId="29" applyFont="1" applyFill="1" applyBorder="1" applyAlignment="1" applyProtection="1">
      <alignment horizontal="center"/>
    </xf>
    <xf numFmtId="167" fontId="48" fillId="0" borderId="0" xfId="0" applyNumberFormat="1" applyFont="1"/>
    <xf numFmtId="0" fontId="35" fillId="32" borderId="21" xfId="0" applyFont="1" applyFill="1" applyBorder="1" applyAlignment="1">
      <alignment horizontal="center" vertical="center"/>
    </xf>
    <xf numFmtId="0" fontId="35" fillId="32" borderId="22" xfId="0" applyFont="1" applyFill="1" applyBorder="1" applyAlignment="1">
      <alignment horizontal="left" vertical="center"/>
    </xf>
    <xf numFmtId="0" fontId="35" fillId="32" borderId="22" xfId="0" applyFont="1" applyFill="1" applyBorder="1" applyAlignment="1">
      <alignment horizontal="center" vertical="center"/>
    </xf>
    <xf numFmtId="0" fontId="35" fillId="32" borderId="5" xfId="0" applyFont="1" applyFill="1" applyBorder="1" applyAlignment="1">
      <alignment horizontal="center" vertical="center"/>
    </xf>
    <xf numFmtId="0" fontId="35" fillId="28" borderId="47" xfId="0" applyFont="1" applyFill="1" applyBorder="1" applyAlignment="1">
      <alignment horizontal="center" wrapText="1"/>
    </xf>
    <xf numFmtId="0" fontId="35" fillId="28" borderId="48" xfId="0" applyFont="1" applyFill="1" applyBorder="1" applyAlignment="1">
      <alignment horizontal="left" wrapText="1"/>
    </xf>
    <xf numFmtId="0" fontId="35" fillId="28" borderId="48" xfId="0" applyFont="1" applyFill="1" applyBorder="1" applyAlignment="1">
      <alignment horizontal="center" wrapText="1"/>
    </xf>
    <xf numFmtId="0" fontId="35" fillId="28" borderId="49" xfId="0" applyFont="1" applyFill="1" applyBorder="1" applyAlignment="1">
      <alignment horizontal="center" wrapText="1"/>
    </xf>
    <xf numFmtId="0" fontId="35" fillId="32" borderId="21" xfId="0" applyFont="1" applyFill="1" applyBorder="1" applyAlignment="1">
      <alignment horizontal="center" wrapText="1"/>
    </xf>
    <xf numFmtId="0" fontId="35" fillId="32" borderId="22" xfId="0" applyFont="1" applyFill="1" applyBorder="1" applyAlignment="1">
      <alignment horizontal="left" wrapText="1"/>
    </xf>
    <xf numFmtId="0" fontId="35" fillId="32" borderId="22" xfId="0" applyFont="1" applyFill="1" applyBorder="1" applyAlignment="1">
      <alignment horizontal="center" wrapText="1"/>
    </xf>
    <xf numFmtId="0" fontId="35" fillId="7" borderId="24" xfId="0" applyFont="1" applyFill="1" applyBorder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44" fontId="35" fillId="7" borderId="25" xfId="0" applyNumberFormat="1" applyFont="1" applyFill="1" applyBorder="1" applyAlignment="1">
      <alignment horizontal="center" vertical="center"/>
    </xf>
    <xf numFmtId="0" fontId="35" fillId="7" borderId="26" xfId="0" applyFont="1" applyFill="1" applyBorder="1" applyAlignment="1">
      <alignment horizontal="center" vertical="center"/>
    </xf>
    <xf numFmtId="0" fontId="35" fillId="32" borderId="24" xfId="0" applyFont="1" applyFill="1" applyBorder="1" applyAlignment="1">
      <alignment horizontal="center" vertical="center"/>
    </xf>
    <xf numFmtId="0" fontId="35" fillId="32" borderId="25" xfId="0" applyFont="1" applyFill="1" applyBorder="1" applyAlignment="1">
      <alignment horizontal="left" vertical="center"/>
    </xf>
    <xf numFmtId="0" fontId="35" fillId="32" borderId="25" xfId="0" applyFont="1" applyFill="1" applyBorder="1" applyAlignment="1">
      <alignment horizontal="center" vertical="center"/>
    </xf>
    <xf numFmtId="0" fontId="35" fillId="32" borderId="26" xfId="0" applyFont="1" applyFill="1" applyBorder="1" applyAlignment="1">
      <alignment horizontal="center" vertical="center"/>
    </xf>
    <xf numFmtId="0" fontId="35" fillId="28" borderId="21" xfId="0" applyFont="1" applyFill="1" applyBorder="1" applyAlignment="1">
      <alignment horizontal="center" wrapText="1"/>
    </xf>
    <xf numFmtId="0" fontId="35" fillId="28" borderId="22" xfId="0" applyFont="1" applyFill="1" applyBorder="1" applyAlignment="1">
      <alignment horizontal="left" wrapText="1"/>
    </xf>
    <xf numFmtId="0" fontId="35" fillId="28" borderId="22" xfId="0" applyFont="1" applyFill="1" applyBorder="1" applyAlignment="1">
      <alignment horizontal="center" wrapText="1"/>
    </xf>
    <xf numFmtId="0" fontId="35" fillId="28" borderId="5" xfId="0" applyFont="1" applyFill="1" applyBorder="1" applyAlignment="1">
      <alignment horizontal="center" wrapText="1"/>
    </xf>
    <xf numFmtId="0" fontId="35" fillId="7" borderId="2" xfId="0" applyFont="1" applyFill="1" applyBorder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0" fontId="35" fillId="7" borderId="3" xfId="0" applyFont="1" applyFill="1" applyBorder="1" applyAlignment="1">
      <alignment horizontal="center" vertical="center"/>
    </xf>
    <xf numFmtId="44" fontId="35" fillId="7" borderId="3" xfId="0" applyNumberFormat="1" applyFont="1" applyFill="1" applyBorder="1" applyAlignment="1">
      <alignment horizontal="center" vertical="center"/>
    </xf>
    <xf numFmtId="44" fontId="35" fillId="7" borderId="19" xfId="0" applyNumberFormat="1" applyFont="1" applyFill="1" applyBorder="1" applyAlignment="1">
      <alignment horizontal="center" vertical="center"/>
    </xf>
    <xf numFmtId="44" fontId="35" fillId="7" borderId="20" xfId="0" applyNumberFormat="1" applyFont="1" applyFill="1" applyBorder="1" applyAlignment="1">
      <alignment horizontal="center" vertical="center"/>
    </xf>
    <xf numFmtId="44" fontId="35" fillId="7" borderId="18" xfId="0" applyNumberFormat="1" applyFont="1" applyFill="1" applyBorder="1" applyAlignment="1">
      <alignment horizontal="center"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45" xfId="0" applyFont="1" applyFill="1" applyBorder="1" applyAlignment="1">
      <alignment horizontal="center" vertical="center"/>
    </xf>
    <xf numFmtId="44" fontId="35" fillId="7" borderId="45" xfId="0" applyNumberFormat="1" applyFont="1" applyFill="1" applyBorder="1" applyAlignment="1">
      <alignment horizontal="center" vertical="center"/>
    </xf>
    <xf numFmtId="44" fontId="35" fillId="7" borderId="57" xfId="0" applyNumberFormat="1" applyFont="1" applyFill="1" applyBorder="1" applyAlignment="1">
      <alignment horizontal="center" vertical="center"/>
    </xf>
    <xf numFmtId="0" fontId="35" fillId="28" borderId="2" xfId="0" applyFont="1" applyFill="1" applyBorder="1" applyAlignment="1">
      <alignment horizontal="center" wrapText="1"/>
    </xf>
    <xf numFmtId="0" fontId="35" fillId="28" borderId="0" xfId="0" applyFont="1" applyFill="1" applyAlignment="1">
      <alignment horizontal="center" wrapText="1"/>
    </xf>
    <xf numFmtId="0" fontId="35" fillId="28" borderId="3" xfId="0" applyFont="1" applyFill="1" applyBorder="1" applyAlignment="1">
      <alignment horizontal="center" wrapText="1"/>
    </xf>
    <xf numFmtId="0" fontId="35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28" borderId="24" xfId="0" applyFont="1" applyFill="1" applyBorder="1" applyAlignment="1">
      <alignment horizontal="center" wrapText="1"/>
    </xf>
    <xf numFmtId="0" fontId="35" fillId="28" borderId="25" xfId="0" applyFont="1" applyFill="1" applyBorder="1" applyAlignment="1">
      <alignment horizontal="left" wrapText="1"/>
    </xf>
    <xf numFmtId="0" fontId="35" fillId="28" borderId="25" xfId="0" applyFont="1" applyFill="1" applyBorder="1" applyAlignment="1">
      <alignment horizontal="center" wrapText="1"/>
    </xf>
    <xf numFmtId="44" fontId="35" fillId="28" borderId="25" xfId="0" applyNumberFormat="1" applyFont="1" applyFill="1" applyBorder="1" applyAlignment="1">
      <alignment horizontal="center" wrapText="1"/>
    </xf>
    <xf numFmtId="0" fontId="35" fillId="28" borderId="26" xfId="0" applyFont="1" applyFill="1" applyBorder="1" applyAlignment="1">
      <alignment horizontal="center" wrapText="1"/>
    </xf>
    <xf numFmtId="0" fontId="35" fillId="28" borderId="4" xfId="0" applyFont="1" applyFill="1" applyBorder="1" applyAlignment="1">
      <alignment horizontal="center" wrapText="1"/>
    </xf>
    <xf numFmtId="0" fontId="48" fillId="7" borderId="2" xfId="0" applyFont="1" applyFill="1" applyBorder="1"/>
    <xf numFmtId="0" fontId="48" fillId="7" borderId="46" xfId="0" applyFont="1" applyFill="1" applyBorder="1" applyAlignment="1">
      <alignment wrapText="1"/>
    </xf>
    <xf numFmtId="167" fontId="35" fillId="7" borderId="0" xfId="29" applyFont="1" applyFill="1" applyBorder="1" applyAlignment="1" applyProtection="1">
      <alignment horizontal="right"/>
    </xf>
    <xf numFmtId="44" fontId="35" fillId="7" borderId="0" xfId="29" applyNumberFormat="1" applyFont="1" applyFill="1" applyBorder="1" applyAlignment="1" applyProtection="1"/>
    <xf numFmtId="0" fontId="48" fillId="7" borderId="50" xfId="0" applyFont="1" applyFill="1" applyBorder="1" applyAlignment="1">
      <alignment wrapText="1"/>
    </xf>
    <xf numFmtId="0" fontId="48" fillId="7" borderId="19" xfId="0" applyFont="1" applyFill="1" applyBorder="1"/>
    <xf numFmtId="0" fontId="48" fillId="7" borderId="52" xfId="0" applyFont="1" applyFill="1" applyBorder="1" applyAlignment="1">
      <alignment wrapText="1"/>
    </xf>
    <xf numFmtId="167" fontId="35" fillId="7" borderId="20" xfId="29" applyFont="1" applyFill="1" applyBorder="1" applyAlignment="1" applyProtection="1">
      <alignment horizontal="right"/>
    </xf>
    <xf numFmtId="44" fontId="35" fillId="7" borderId="20" xfId="29" applyNumberFormat="1" applyFont="1" applyFill="1" applyBorder="1" applyAlignment="1" applyProtection="1"/>
    <xf numFmtId="0" fontId="48" fillId="7" borderId="53" xfId="0" applyFont="1" applyFill="1" applyBorder="1" applyAlignment="1">
      <alignment wrapText="1"/>
    </xf>
    <xf numFmtId="167" fontId="35" fillId="2" borderId="3" xfId="29" applyFont="1" applyFill="1" applyBorder="1" applyAlignment="1" applyProtection="1"/>
    <xf numFmtId="0" fontId="35" fillId="0" borderId="2" xfId="0" applyFont="1" applyBorder="1"/>
    <xf numFmtId="9" fontId="48" fillId="0" borderId="0" xfId="7" applyFont="1" applyFill="1" applyBorder="1" applyAlignment="1">
      <alignment horizontal="center"/>
    </xf>
    <xf numFmtId="167" fontId="48" fillId="2" borderId="0" xfId="29" applyFont="1" applyFill="1" applyBorder="1" applyAlignment="1" applyProtection="1">
      <alignment horizontal="right"/>
    </xf>
    <xf numFmtId="0" fontId="48" fillId="7" borderId="20" xfId="0" applyFont="1" applyFill="1" applyBorder="1" applyAlignment="1">
      <alignment wrapText="1"/>
    </xf>
    <xf numFmtId="0" fontId="48" fillId="7" borderId="18" xfId="0" applyFont="1" applyFill="1" applyBorder="1" applyAlignment="1">
      <alignment wrapText="1"/>
    </xf>
    <xf numFmtId="0" fontId="48" fillId="2" borderId="0" xfId="0" applyFont="1" applyFill="1" applyAlignment="1">
      <alignment horizontal="center" wrapText="1"/>
    </xf>
    <xf numFmtId="0" fontId="48" fillId="7" borderId="51" xfId="0" applyFont="1" applyFill="1" applyBorder="1" applyAlignment="1">
      <alignment wrapText="1"/>
    </xf>
    <xf numFmtId="0" fontId="48" fillId="7" borderId="19" xfId="0" applyFont="1" applyFill="1" applyBorder="1" applyAlignment="1">
      <alignment wrapText="1"/>
    </xf>
    <xf numFmtId="0" fontId="48" fillId="0" borderId="22" xfId="0" applyFont="1" applyBorder="1" applyAlignment="1">
      <alignment wrapText="1"/>
    </xf>
    <xf numFmtId="0" fontId="48" fillId="7" borderId="59" xfId="0" applyFont="1" applyFill="1" applyBorder="1" applyAlignment="1">
      <alignment wrapText="1"/>
    </xf>
    <xf numFmtId="44" fontId="48" fillId="0" borderId="0" xfId="29" applyNumberFormat="1" applyFont="1" applyFill="1" applyBorder="1" applyAlignment="1" applyProtection="1">
      <alignment horizontal="center" vertical="center"/>
    </xf>
    <xf numFmtId="0" fontId="48" fillId="2" borderId="2" xfId="0" applyFont="1" applyFill="1" applyBorder="1" applyAlignment="1">
      <alignment vertical="center"/>
    </xf>
    <xf numFmtId="0" fontId="35" fillId="28" borderId="25" xfId="0" applyFont="1" applyFill="1" applyBorder="1"/>
    <xf numFmtId="0" fontId="48" fillId="28" borderId="25" xfId="0" applyFont="1" applyFill="1" applyBorder="1"/>
    <xf numFmtId="44" fontId="48" fillId="28" borderId="25" xfId="0" applyNumberFormat="1" applyFont="1" applyFill="1" applyBorder="1"/>
    <xf numFmtId="44" fontId="35" fillId="28" borderId="25" xfId="29" applyNumberFormat="1" applyFont="1" applyFill="1" applyBorder="1" applyAlignment="1" applyProtection="1"/>
    <xf numFmtId="0" fontId="48" fillId="28" borderId="26" xfId="0" applyFont="1" applyFill="1" applyBorder="1"/>
    <xf numFmtId="0" fontId="48" fillId="7" borderId="2" xfId="0" applyFont="1" applyFill="1" applyBorder="1" applyAlignment="1">
      <alignment wrapText="1"/>
    </xf>
    <xf numFmtId="0" fontId="48" fillId="7" borderId="0" xfId="0" applyFont="1" applyFill="1" applyAlignment="1">
      <alignment wrapText="1"/>
    </xf>
    <xf numFmtId="0" fontId="48" fillId="7" borderId="3" xfId="0" applyFont="1" applyFill="1" applyBorder="1" applyAlignment="1">
      <alignment wrapText="1"/>
    </xf>
    <xf numFmtId="167" fontId="48" fillId="0" borderId="0" xfId="29" applyFont="1"/>
    <xf numFmtId="0" fontId="48" fillId="0" borderId="2" xfId="0" applyFont="1" applyBorder="1" applyAlignment="1">
      <alignment wrapText="1"/>
    </xf>
    <xf numFmtId="44" fontId="35" fillId="0" borderId="0" xfId="29" applyNumberFormat="1" applyFont="1" applyFill="1" applyBorder="1" applyAlignment="1" applyProtection="1"/>
    <xf numFmtId="44" fontId="35" fillId="7" borderId="3" xfId="29" applyNumberFormat="1" applyFont="1" applyFill="1" applyBorder="1" applyAlignment="1" applyProtection="1"/>
    <xf numFmtId="167" fontId="48" fillId="0" borderId="3" xfId="30" applyFont="1" applyFill="1" applyBorder="1" applyAlignment="1" applyProtection="1"/>
    <xf numFmtId="0" fontId="48" fillId="7" borderId="40" xfId="0" applyFont="1" applyFill="1" applyBorder="1"/>
    <xf numFmtId="0" fontId="48" fillId="7" borderId="20" xfId="0" applyFont="1" applyFill="1" applyBorder="1" applyAlignment="1">
      <alignment horizontal="center"/>
    </xf>
    <xf numFmtId="167" fontId="48" fillId="7" borderId="18" xfId="30" applyFont="1" applyFill="1" applyBorder="1" applyAlignment="1" applyProtection="1"/>
    <xf numFmtId="44" fontId="35" fillId="0" borderId="2" xfId="0" applyNumberFormat="1" applyFont="1" applyBorder="1" applyAlignment="1">
      <alignment horizontal="center" vertical="center"/>
    </xf>
    <xf numFmtId="44" fontId="35" fillId="0" borderId="0" xfId="0" applyNumberFormat="1" applyFont="1" applyAlignment="1">
      <alignment horizontal="center" vertical="center"/>
    </xf>
    <xf numFmtId="44" fontId="35" fillId="0" borderId="3" xfId="0" applyNumberFormat="1" applyFont="1" applyBorder="1" applyAlignment="1">
      <alignment horizontal="center" vertical="center"/>
    </xf>
    <xf numFmtId="44" fontId="35" fillId="0" borderId="3" xfId="29" applyNumberFormat="1" applyFont="1" applyFill="1" applyBorder="1" applyAlignment="1" applyProtection="1"/>
    <xf numFmtId="3" fontId="48" fillId="0" borderId="0" xfId="0" applyNumberFormat="1" applyFont="1" applyAlignment="1">
      <alignment horizontal="center"/>
    </xf>
    <xf numFmtId="0" fontId="48" fillId="11" borderId="0" xfId="0" applyFont="1" applyFill="1"/>
    <xf numFmtId="0" fontId="35" fillId="7" borderId="2" xfId="0" applyFont="1" applyFill="1" applyBorder="1"/>
    <xf numFmtId="0" fontId="35" fillId="7" borderId="0" xfId="0" applyFont="1" applyFill="1"/>
    <xf numFmtId="0" fontId="48" fillId="7" borderId="58" xfId="0" applyFont="1" applyFill="1" applyBorder="1" applyAlignment="1">
      <alignment wrapText="1"/>
    </xf>
    <xf numFmtId="0" fontId="48" fillId="7" borderId="54" xfId="0" applyFont="1" applyFill="1" applyBorder="1" applyAlignment="1">
      <alignment wrapText="1"/>
    </xf>
    <xf numFmtId="0" fontId="48" fillId="7" borderId="55" xfId="0" applyFont="1" applyFill="1" applyBorder="1" applyAlignment="1">
      <alignment wrapText="1"/>
    </xf>
    <xf numFmtId="0" fontId="48" fillId="2" borderId="20" xfId="0" applyFont="1" applyFill="1" applyBorder="1" applyAlignment="1">
      <alignment wrapText="1"/>
    </xf>
    <xf numFmtId="44" fontId="48" fillId="2" borderId="20" xfId="0" applyNumberFormat="1" applyFont="1" applyFill="1" applyBorder="1" applyAlignment="1">
      <alignment vertical="center"/>
    </xf>
    <xf numFmtId="167" fontId="48" fillId="0" borderId="18" xfId="29" applyFont="1" applyFill="1" applyBorder="1" applyAlignment="1" applyProtection="1"/>
    <xf numFmtId="177" fontId="48" fillId="0" borderId="0" xfId="0" applyNumberFormat="1" applyFont="1" applyAlignment="1">
      <alignment horizontal="center"/>
    </xf>
    <xf numFmtId="0" fontId="35" fillId="28" borderId="56" xfId="0" applyFont="1" applyFill="1" applyBorder="1" applyAlignment="1">
      <alignment horizontal="center" vertical="center"/>
    </xf>
    <xf numFmtId="0" fontId="35" fillId="28" borderId="45" xfId="0" applyFont="1" applyFill="1" applyBorder="1" applyAlignment="1">
      <alignment horizontal="left" vertical="center"/>
    </xf>
    <xf numFmtId="0" fontId="35" fillId="28" borderId="45" xfId="0" applyFont="1" applyFill="1" applyBorder="1" applyAlignment="1">
      <alignment horizontal="center" vertical="center"/>
    </xf>
    <xf numFmtId="0" fontId="35" fillId="28" borderId="57" xfId="0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10" fontId="48" fillId="2" borderId="0" xfId="0" applyNumberFormat="1" applyFont="1" applyFill="1" applyAlignment="1">
      <alignment wrapText="1"/>
    </xf>
    <xf numFmtId="0" fontId="48" fillId="0" borderId="20" xfId="0" applyFont="1" applyBorder="1" applyAlignment="1">
      <alignment horizontal="center" vertical="center"/>
    </xf>
    <xf numFmtId="44" fontId="48" fillId="0" borderId="4" xfId="0" applyNumberFormat="1" applyFont="1" applyBorder="1" applyAlignment="1">
      <alignment horizontal="left" vertical="center"/>
    </xf>
    <xf numFmtId="44" fontId="35" fillId="0" borderId="14" xfId="0" applyNumberFormat="1" applyFont="1" applyBorder="1" applyAlignment="1">
      <alignment horizontal="left" vertical="center"/>
    </xf>
    <xf numFmtId="44" fontId="48" fillId="0" borderId="8" xfId="0" applyNumberFormat="1" applyFont="1" applyBorder="1" applyAlignment="1">
      <alignment horizontal="left" vertical="center"/>
    </xf>
    <xf numFmtId="44" fontId="35" fillId="0" borderId="15" xfId="0" applyNumberFormat="1" applyFont="1" applyBorder="1" applyAlignment="1">
      <alignment horizontal="left" vertical="center"/>
    </xf>
    <xf numFmtId="44" fontId="48" fillId="0" borderId="6" xfId="0" applyNumberFormat="1" applyFont="1" applyBorder="1" applyAlignment="1">
      <alignment horizontal="left" vertical="center"/>
    </xf>
    <xf numFmtId="44" fontId="48" fillId="0" borderId="7" xfId="0" applyNumberFormat="1" applyFont="1" applyBorder="1" applyAlignment="1">
      <alignment horizontal="left" vertical="center"/>
    </xf>
    <xf numFmtId="0" fontId="35" fillId="28" borderId="34" xfId="0" applyFont="1" applyFill="1" applyBorder="1" applyAlignment="1">
      <alignment horizontal="justify" vertical="center"/>
    </xf>
    <xf numFmtId="44" fontId="35" fillId="28" borderId="36" xfId="0" applyNumberFormat="1" applyFont="1" applyFill="1" applyBorder="1"/>
    <xf numFmtId="0" fontId="35" fillId="28" borderId="37" xfId="0" applyFont="1" applyFill="1" applyBorder="1" applyAlignment="1">
      <alignment horizontal="justify" vertical="center"/>
    </xf>
    <xf numFmtId="44" fontId="35" fillId="28" borderId="28" xfId="0" applyNumberFormat="1" applyFont="1" applyFill="1" applyBorder="1"/>
    <xf numFmtId="44" fontId="48" fillId="0" borderId="28" xfId="0" applyNumberFormat="1" applyFont="1" applyBorder="1"/>
    <xf numFmtId="0" fontId="35" fillId="7" borderId="38" xfId="0" applyFont="1" applyFill="1" applyBorder="1" applyAlignment="1">
      <alignment horizontal="justify" vertical="center"/>
    </xf>
    <xf numFmtId="44" fontId="35" fillId="7" borderId="33" xfId="0" applyNumberFormat="1" applyFont="1" applyFill="1" applyBorder="1"/>
    <xf numFmtId="0" fontId="48" fillId="28" borderId="34" xfId="0" applyFont="1" applyFill="1" applyBorder="1" applyAlignment="1">
      <alignment horizontal="left" vertical="center"/>
    </xf>
    <xf numFmtId="0" fontId="48" fillId="28" borderId="36" xfId="0" applyFont="1" applyFill="1" applyBorder="1"/>
    <xf numFmtId="0" fontId="48" fillId="0" borderId="38" xfId="0" applyFont="1" applyBorder="1" applyAlignment="1">
      <alignment horizontal="left" vertical="center"/>
    </xf>
    <xf numFmtId="44" fontId="35" fillId="0" borderId="33" xfId="0" applyNumberFormat="1" applyFont="1" applyBorder="1"/>
    <xf numFmtId="0" fontId="35" fillId="28" borderId="0" xfId="0" applyFont="1" applyFill="1"/>
    <xf numFmtId="0" fontId="48" fillId="0" borderId="34" xfId="0" applyFont="1" applyBorder="1" applyAlignment="1">
      <alignment horizontal="justify" vertical="center"/>
    </xf>
    <xf numFmtId="0" fontId="48" fillId="0" borderId="36" xfId="0" applyFont="1" applyBorder="1"/>
    <xf numFmtId="0" fontId="48" fillId="0" borderId="37" xfId="0" applyFont="1" applyBorder="1" applyAlignment="1">
      <alignment horizontal="justify" vertical="center"/>
    </xf>
    <xf numFmtId="0" fontId="48" fillId="0" borderId="28" xfId="0" applyFont="1" applyBorder="1"/>
    <xf numFmtId="0" fontId="48" fillId="7" borderId="38" xfId="0" applyFont="1" applyFill="1" applyBorder="1" applyAlignment="1">
      <alignment horizontal="justify" vertical="center"/>
    </xf>
    <xf numFmtId="0" fontId="48" fillId="0" borderId="0" xfId="0" applyFont="1" applyAlignment="1">
      <alignment horizontal="justify" vertical="center"/>
    </xf>
    <xf numFmtId="0" fontId="48" fillId="28" borderId="34" xfId="0" applyFont="1" applyFill="1" applyBorder="1" applyAlignment="1">
      <alignment horizontal="justify" vertical="center"/>
    </xf>
    <xf numFmtId="0" fontId="35" fillId="28" borderId="28" xfId="0" applyFont="1" applyFill="1" applyBorder="1" applyAlignment="1">
      <alignment horizontal="left" wrapText="1"/>
    </xf>
    <xf numFmtId="0" fontId="35" fillId="28" borderId="90" xfId="0" applyFont="1" applyFill="1" applyBorder="1" applyAlignment="1">
      <alignment horizontal="left" vertical="center"/>
    </xf>
    <xf numFmtId="0" fontId="35" fillId="28" borderId="91" xfId="0" applyFont="1" applyFill="1" applyBorder="1" applyAlignment="1">
      <alignment horizontal="center" vertical="center"/>
    </xf>
    <xf numFmtId="0" fontId="48" fillId="2" borderId="6" xfId="0" applyFont="1" applyFill="1" applyBorder="1" applyAlignment="1">
      <alignment horizontal="center" vertical="center" wrapText="1"/>
    </xf>
    <xf numFmtId="0" fontId="48" fillId="2" borderId="4" xfId="0" applyFont="1" applyFill="1" applyBorder="1" applyAlignment="1">
      <alignment horizontal="center" wrapText="1"/>
    </xf>
    <xf numFmtId="44" fontId="48" fillId="7" borderId="4" xfId="0" applyNumberFormat="1" applyFont="1" applyFill="1" applyBorder="1" applyAlignment="1">
      <alignment horizontal="center" wrapText="1"/>
    </xf>
    <xf numFmtId="44" fontId="48" fillId="0" borderId="4" xfId="0" applyNumberFormat="1" applyFont="1" applyBorder="1" applyAlignment="1">
      <alignment vertical="center"/>
    </xf>
    <xf numFmtId="44" fontId="48" fillId="0" borderId="4" xfId="0" applyNumberFormat="1" applyFont="1" applyBorder="1"/>
    <xf numFmtId="44" fontId="48" fillId="0" borderId="14" xfId="0" applyNumberFormat="1" applyFont="1" applyBorder="1"/>
    <xf numFmtId="0" fontId="48" fillId="2" borderId="6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vertical="center" wrapText="1"/>
    </xf>
    <xf numFmtId="44" fontId="48" fillId="7" borderId="4" xfId="0" applyNumberFormat="1" applyFont="1" applyFill="1" applyBorder="1" applyAlignment="1">
      <alignment horizontal="center" vertical="center" wrapText="1"/>
    </xf>
    <xf numFmtId="4" fontId="48" fillId="2" borderId="4" xfId="0" applyNumberFormat="1" applyFont="1" applyFill="1" applyBorder="1"/>
    <xf numFmtId="44" fontId="48" fillId="7" borderId="4" xfId="0" applyNumberFormat="1" applyFont="1" applyFill="1" applyBorder="1" applyAlignment="1">
      <alignment horizontal="right" wrapText="1"/>
    </xf>
    <xf numFmtId="0" fontId="48" fillId="0" borderId="37" xfId="0" applyFont="1" applyBorder="1" applyAlignment="1">
      <alignment horizontal="center" vertical="center" wrapText="1"/>
    </xf>
    <xf numFmtId="4" fontId="48" fillId="0" borderId="0" xfId="0" applyNumberFormat="1" applyFont="1"/>
    <xf numFmtId="44" fontId="48" fillId="0" borderId="0" xfId="0" applyNumberFormat="1" applyFont="1" applyAlignment="1">
      <alignment horizontal="center"/>
    </xf>
    <xf numFmtId="0" fontId="48" fillId="28" borderId="4" xfId="0" applyFont="1" applyFill="1" applyBorder="1"/>
    <xf numFmtId="0" fontId="35" fillId="28" borderId="90" xfId="0" applyFont="1" applyFill="1" applyBorder="1" applyAlignment="1">
      <alignment horizontal="center" vertical="center"/>
    </xf>
    <xf numFmtId="44" fontId="48" fillId="0" borderId="24" xfId="0" applyNumberFormat="1" applyFont="1" applyBorder="1"/>
    <xf numFmtId="0" fontId="48" fillId="0" borderId="6" xfId="0" applyFont="1" applyBorder="1" applyAlignment="1">
      <alignment horizontal="center" wrapText="1"/>
    </xf>
    <xf numFmtId="0" fontId="48" fillId="0" borderId="4" xfId="64" applyFont="1" applyBorder="1" applyAlignment="1">
      <alignment wrapText="1"/>
    </xf>
    <xf numFmtId="44" fontId="48" fillId="7" borderId="4" xfId="0" applyNumberFormat="1" applyFont="1" applyFill="1" applyBorder="1" applyAlignment="1">
      <alignment horizontal="center" vertical="center"/>
    </xf>
    <xf numFmtId="0" fontId="48" fillId="0" borderId="4" xfId="0" applyFont="1" applyBorder="1" applyAlignment="1">
      <alignment horizontal="center" wrapText="1"/>
    </xf>
    <xf numFmtId="0" fontId="48" fillId="0" borderId="6" xfId="0" applyFont="1" applyBorder="1" applyAlignment="1">
      <alignment horizontal="center" vertical="center" wrapText="1"/>
    </xf>
    <xf numFmtId="0" fontId="48" fillId="0" borderId="0" xfId="0" applyFont="1" applyAlignment="1">
      <alignment horizontal="center" wrapText="1"/>
    </xf>
    <xf numFmtId="0" fontId="48" fillId="0" borderId="4" xfId="0" applyFont="1" applyBorder="1" applyAlignment="1">
      <alignment horizontal="left" vertical="center" wrapText="1"/>
    </xf>
    <xf numFmtId="0" fontId="48" fillId="3" borderId="6" xfId="0" applyFont="1" applyFill="1" applyBorder="1" applyAlignment="1">
      <alignment horizontal="center" vertical="center" wrapText="1"/>
    </xf>
    <xf numFmtId="0" fontId="48" fillId="3" borderId="4" xfId="0" applyFont="1" applyFill="1" applyBorder="1" applyAlignment="1">
      <alignment wrapText="1"/>
    </xf>
    <xf numFmtId="0" fontId="48" fillId="3" borderId="4" xfId="0" applyFont="1" applyFill="1" applyBorder="1" applyAlignment="1">
      <alignment horizontal="center" wrapText="1"/>
    </xf>
    <xf numFmtId="0" fontId="48" fillId="3" borderId="4" xfId="0" applyFont="1" applyFill="1" applyBorder="1"/>
    <xf numFmtId="44" fontId="48" fillId="3" borderId="4" xfId="0" applyNumberFormat="1" applyFont="1" applyFill="1" applyBorder="1" applyAlignment="1">
      <alignment vertical="center"/>
    </xf>
    <xf numFmtId="0" fontId="48" fillId="3" borderId="4" xfId="0" applyFont="1" applyFill="1" applyBorder="1" applyAlignment="1">
      <alignment horizontal="center"/>
    </xf>
    <xf numFmtId="0" fontId="48" fillId="3" borderId="6" xfId="0" applyFont="1" applyFill="1" applyBorder="1" applyAlignment="1">
      <alignment horizontal="center" vertical="center"/>
    </xf>
    <xf numFmtId="0" fontId="48" fillId="3" borderId="4" xfId="0" applyFont="1" applyFill="1" applyBorder="1" applyAlignment="1">
      <alignment vertical="center" wrapText="1"/>
    </xf>
    <xf numFmtId="0" fontId="48" fillId="3" borderId="4" xfId="0" applyFont="1" applyFill="1" applyBorder="1" applyAlignment="1">
      <alignment horizontal="center" vertical="center" wrapText="1"/>
    </xf>
    <xf numFmtId="44" fontId="48" fillId="3" borderId="4" xfId="0" applyNumberFormat="1" applyFont="1" applyFill="1" applyBorder="1"/>
    <xf numFmtId="0" fontId="48" fillId="3" borderId="6" xfId="0" applyFont="1" applyFill="1" applyBorder="1" applyAlignment="1">
      <alignment vertical="center"/>
    </xf>
    <xf numFmtId="0" fontId="48" fillId="0" borderId="37" xfId="0" applyFont="1" applyBorder="1" applyAlignment="1">
      <alignment vertical="center"/>
    </xf>
    <xf numFmtId="0" fontId="48" fillId="0" borderId="31" xfId="0" applyFont="1" applyBorder="1"/>
    <xf numFmtId="0" fontId="48" fillId="0" borderId="33" xfId="0" applyFont="1" applyBorder="1"/>
    <xf numFmtId="0" fontId="48" fillId="0" borderId="0" xfId="0" applyFont="1" applyAlignment="1">
      <alignment vertical="center"/>
    </xf>
    <xf numFmtId="0" fontId="48" fillId="32" borderId="34" xfId="0" applyFont="1" applyFill="1" applyBorder="1" applyAlignment="1">
      <alignment vertical="center"/>
    </xf>
    <xf numFmtId="0" fontId="48" fillId="32" borderId="35" xfId="0" applyFont="1" applyFill="1" applyBorder="1"/>
    <xf numFmtId="0" fontId="48" fillId="32" borderId="35" xfId="0" applyFont="1" applyFill="1" applyBorder="1" applyAlignment="1">
      <alignment horizontal="center"/>
    </xf>
    <xf numFmtId="44" fontId="48" fillId="32" borderId="35" xfId="0" applyNumberFormat="1" applyFont="1" applyFill="1" applyBorder="1"/>
    <xf numFmtId="0" fontId="48" fillId="32" borderId="36" xfId="0" applyFont="1" applyFill="1" applyBorder="1"/>
    <xf numFmtId="0" fontId="35" fillId="28" borderId="45" xfId="0" applyFont="1" applyFill="1" applyBorder="1" applyAlignment="1">
      <alignment horizontal="center"/>
    </xf>
    <xf numFmtId="0" fontId="35" fillId="28" borderId="91" xfId="0" applyFont="1" applyFill="1" applyBorder="1" applyAlignment="1">
      <alignment horizontal="center"/>
    </xf>
    <xf numFmtId="0" fontId="48" fillId="0" borderId="24" xfId="0" applyFont="1" applyBorder="1" applyAlignment="1">
      <alignment horizontal="center" vertical="center"/>
    </xf>
    <xf numFmtId="0" fontId="35" fillId="0" borderId="0" xfId="0" applyFont="1" applyAlignment="1">
      <alignment horizontal="left" wrapText="1"/>
    </xf>
    <xf numFmtId="0" fontId="2" fillId="0" borderId="4" xfId="0" applyFont="1" applyBorder="1" applyAlignment="1">
      <alignment horizontal="center" vertical="center"/>
    </xf>
    <xf numFmtId="167" fontId="2" fillId="0" borderId="4" xfId="29" applyFont="1" applyFill="1" applyBorder="1" applyAlignment="1" applyProtection="1">
      <alignment vertical="center"/>
    </xf>
    <xf numFmtId="2" fontId="16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6" fillId="0" borderId="0" xfId="0" applyFont="1"/>
    <xf numFmtId="0" fontId="35" fillId="12" borderId="87" xfId="0" applyFont="1" applyFill="1" applyBorder="1" applyAlignment="1">
      <alignment horizontal="center"/>
    </xf>
    <xf numFmtId="0" fontId="35" fillId="12" borderId="62" xfId="0" applyFont="1" applyFill="1" applyBorder="1" applyAlignment="1">
      <alignment horizontal="center"/>
    </xf>
    <xf numFmtId="0" fontId="35" fillId="12" borderId="63" xfId="0" applyFont="1" applyFill="1" applyBorder="1" applyAlignment="1">
      <alignment horizontal="center"/>
    </xf>
    <xf numFmtId="10" fontId="35" fillId="12" borderId="26" xfId="7" applyNumberFormat="1" applyFont="1" applyFill="1" applyBorder="1"/>
    <xf numFmtId="44" fontId="35" fillId="12" borderId="4" xfId="0" applyNumberFormat="1" applyFont="1" applyFill="1" applyBorder="1"/>
    <xf numFmtId="8" fontId="35" fillId="12" borderId="14" xfId="0" applyNumberFormat="1" applyFont="1" applyFill="1" applyBorder="1"/>
    <xf numFmtId="10" fontId="35" fillId="12" borderId="64" xfId="7" applyNumberFormat="1" applyFont="1" applyFill="1" applyBorder="1"/>
    <xf numFmtId="44" fontId="35" fillId="12" borderId="8" xfId="0" applyNumberFormat="1" applyFont="1" applyFill="1" applyBorder="1"/>
    <xf numFmtId="8" fontId="35" fillId="12" borderId="15" xfId="0" applyNumberFormat="1" applyFont="1" applyFill="1" applyBorder="1"/>
    <xf numFmtId="0" fontId="48" fillId="33" borderId="34" xfId="105" applyFont="1" applyFill="1" applyBorder="1"/>
    <xf numFmtId="0" fontId="48" fillId="33" borderId="35" xfId="105" applyFont="1" applyFill="1" applyBorder="1" applyAlignment="1">
      <alignment horizontal="center"/>
    </xf>
    <xf numFmtId="0" fontId="48" fillId="33" borderId="37" xfId="105" applyFont="1" applyFill="1" applyBorder="1"/>
    <xf numFmtId="0" fontId="48" fillId="33" borderId="0" xfId="105" applyFont="1" applyFill="1" applyBorder="1" applyAlignment="1">
      <alignment horizontal="center"/>
    </xf>
    <xf numFmtId="0" fontId="35" fillId="34" borderId="67" xfId="39" applyFont="1" applyFill="1" applyBorder="1"/>
    <xf numFmtId="0" fontId="35" fillId="34" borderId="20" xfId="39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2" fontId="48" fillId="0" borderId="0" xfId="0" applyNumberFormat="1" applyFont="1" applyAlignment="1">
      <alignment horizontal="center" vertical="center"/>
    </xf>
    <xf numFmtId="0" fontId="35" fillId="27" borderId="0" xfId="0" applyFont="1" applyFill="1" applyAlignment="1">
      <alignment horizontal="center" vertical="center" wrapText="1"/>
    </xf>
    <xf numFmtId="0" fontId="48" fillId="7" borderId="0" xfId="0" applyFont="1" applyFill="1" applyAlignment="1">
      <alignment horizontal="center" vertical="center"/>
    </xf>
    <xf numFmtId="174" fontId="48" fillId="7" borderId="0" xfId="0" applyNumberFormat="1" applyFont="1" applyFill="1" applyAlignment="1">
      <alignment horizontal="center" vertical="center"/>
    </xf>
    <xf numFmtId="0" fontId="62" fillId="0" borderId="0" xfId="0" applyFont="1" applyAlignment="1">
      <alignment horizontal="center"/>
    </xf>
    <xf numFmtId="0" fontId="62" fillId="0" borderId="0" xfId="0" applyFont="1"/>
    <xf numFmtId="0" fontId="63" fillId="0" borderId="0" xfId="0" applyFont="1"/>
    <xf numFmtId="173" fontId="63" fillId="0" borderId="0" xfId="0" applyNumberFormat="1" applyFont="1" applyAlignment="1">
      <alignment horizontal="center" vertical="center" wrapText="1"/>
    </xf>
    <xf numFmtId="173" fontId="63" fillId="0" borderId="0" xfId="0" applyNumberFormat="1" applyFont="1" applyAlignment="1">
      <alignment horizontal="center" vertical="center"/>
    </xf>
    <xf numFmtId="173" fontId="62" fillId="0" borderId="0" xfId="0" applyNumberFormat="1" applyFont="1" applyAlignment="1">
      <alignment horizontal="center" vertical="center"/>
    </xf>
    <xf numFmtId="173" fontId="62" fillId="0" borderId="0" xfId="0" applyNumberFormat="1" applyFont="1" applyAlignment="1">
      <alignment horizontal="center" vertical="center" wrapText="1"/>
    </xf>
    <xf numFmtId="2" fontId="62" fillId="0" borderId="0" xfId="0" applyNumberFormat="1" applyFont="1" applyAlignment="1">
      <alignment horizontal="center" vertical="center"/>
    </xf>
    <xf numFmtId="3" fontId="62" fillId="0" borderId="0" xfId="0" applyNumberFormat="1" applyFont="1"/>
    <xf numFmtId="0" fontId="64" fillId="32" borderId="0" xfId="0" applyFont="1" applyFill="1" applyAlignment="1">
      <alignment horizontal="center" vertical="center"/>
    </xf>
    <xf numFmtId="0" fontId="64" fillId="32" borderId="0" xfId="0" applyFont="1" applyFill="1" applyAlignment="1">
      <alignment horizontal="left" wrapText="1"/>
    </xf>
    <xf numFmtId="0" fontId="64" fillId="28" borderId="0" xfId="0" applyFont="1" applyFill="1" applyAlignment="1">
      <alignment horizontal="center" vertical="center" wrapText="1"/>
    </xf>
    <xf numFmtId="0" fontId="62" fillId="28" borderId="0" xfId="0" applyFont="1" applyFill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0" fontId="2" fillId="0" borderId="2" xfId="0" applyFont="1" applyBorder="1"/>
    <xf numFmtId="0" fontId="45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vertical="center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right" vertical="center"/>
    </xf>
    <xf numFmtId="0" fontId="35" fillId="29" borderId="42" xfId="104" applyFont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/>
    </xf>
    <xf numFmtId="8" fontId="48" fillId="0" borderId="4" xfId="0" applyNumberFormat="1" applyFont="1" applyBorder="1" applyAlignment="1">
      <alignment horizontal="center" vertical="center"/>
    </xf>
    <xf numFmtId="0" fontId="45" fillId="2" borderId="0" xfId="0" applyFont="1" applyFill="1" applyAlignment="1">
      <alignment horizontal="left" vertical="center"/>
    </xf>
    <xf numFmtId="0" fontId="48" fillId="2" borderId="4" xfId="0" applyFont="1" applyFill="1" applyBorder="1" applyAlignment="1">
      <alignment vertical="center"/>
    </xf>
    <xf numFmtId="8" fontId="48" fillId="2" borderId="4" xfId="0" applyNumberFormat="1" applyFont="1" applyFill="1" applyBorder="1" applyAlignment="1">
      <alignment horizontal="center" vertical="center"/>
    </xf>
    <xf numFmtId="10" fontId="44" fillId="2" borderId="0" xfId="7" applyNumberFormat="1" applyFont="1" applyFill="1" applyBorder="1" applyAlignment="1">
      <alignment horizontal="left" vertical="center"/>
    </xf>
    <xf numFmtId="8" fontId="44" fillId="0" borderId="0" xfId="0" applyNumberFormat="1" applyFont="1" applyAlignment="1">
      <alignment vertical="center"/>
    </xf>
    <xf numFmtId="10" fontId="44" fillId="2" borderId="0" xfId="7" applyNumberFormat="1" applyFont="1" applyFill="1" applyBorder="1" applyAlignment="1">
      <alignment horizontal="center" vertical="center"/>
    </xf>
    <xf numFmtId="10" fontId="44" fillId="2" borderId="0" xfId="0" applyNumberFormat="1" applyFont="1" applyFill="1" applyAlignment="1">
      <alignment horizontal="center" vertical="center"/>
    </xf>
    <xf numFmtId="0" fontId="35" fillId="27" borderId="47" xfId="0" applyFont="1" applyFill="1" applyBorder="1" applyAlignment="1">
      <alignment horizontal="center" vertical="center" wrapText="1"/>
    </xf>
    <xf numFmtId="0" fontId="35" fillId="27" borderId="48" xfId="0" applyFont="1" applyFill="1" applyBorder="1" applyAlignment="1">
      <alignment horizontal="left" vertical="center" wrapText="1"/>
    </xf>
    <xf numFmtId="0" fontId="48" fillId="0" borderId="4" xfId="0" applyFont="1" applyBorder="1" applyAlignment="1">
      <alignment vertical="center" wrapText="1"/>
    </xf>
    <xf numFmtId="167" fontId="44" fillId="2" borderId="0" xfId="29" applyFont="1" applyFill="1" applyBorder="1" applyAlignment="1">
      <alignment horizontal="center" vertical="center"/>
    </xf>
    <xf numFmtId="172" fontId="44" fillId="2" borderId="0" xfId="29" applyNumberFormat="1" applyFont="1" applyFill="1" applyBorder="1" applyAlignment="1">
      <alignment horizontal="center" vertical="center"/>
    </xf>
    <xf numFmtId="9" fontId="44" fillId="2" borderId="0" xfId="7" applyFont="1" applyFill="1" applyBorder="1" applyAlignment="1">
      <alignment vertical="center"/>
    </xf>
    <xf numFmtId="43" fontId="44" fillId="2" borderId="0" xfId="0" applyNumberFormat="1" applyFont="1" applyFill="1" applyAlignment="1">
      <alignment vertical="center"/>
    </xf>
    <xf numFmtId="44" fontId="48" fillId="2" borderId="4" xfId="0" applyNumberFormat="1" applyFont="1" applyFill="1" applyBorder="1" applyAlignment="1">
      <alignment horizontal="center" vertical="center"/>
    </xf>
    <xf numFmtId="167" fontId="44" fillId="0" borderId="0" xfId="29" applyFont="1" applyFill="1" applyBorder="1" applyAlignment="1">
      <alignment horizontal="center" vertical="center"/>
    </xf>
    <xf numFmtId="172" fontId="44" fillId="0" borderId="0" xfId="29" applyNumberFormat="1" applyFont="1" applyFill="1" applyBorder="1" applyAlignment="1">
      <alignment horizontal="center" vertical="center"/>
    </xf>
    <xf numFmtId="167" fontId="44" fillId="0" borderId="0" xfId="29" applyFont="1" applyFill="1" applyBorder="1" applyAlignment="1">
      <alignment horizontal="left" vertical="center"/>
    </xf>
    <xf numFmtId="167" fontId="44" fillId="0" borderId="0" xfId="29" applyFont="1" applyFill="1" applyBorder="1" applyAlignment="1" applyProtection="1">
      <alignment vertical="center"/>
    </xf>
    <xf numFmtId="167" fontId="44" fillId="0" borderId="0" xfId="0" applyNumberFormat="1" applyFont="1" applyAlignment="1">
      <alignment vertical="center"/>
    </xf>
    <xf numFmtId="43" fontId="44" fillId="0" borderId="0" xfId="0" applyNumberFormat="1" applyFont="1" applyAlignment="1">
      <alignment vertical="center"/>
    </xf>
    <xf numFmtId="44" fontId="48" fillId="0" borderId="4" xfId="0" applyNumberFormat="1" applyFont="1" applyBorder="1" applyAlignment="1">
      <alignment horizontal="center" vertical="center" wrapText="1"/>
    </xf>
    <xf numFmtId="44" fontId="44" fillId="0" borderId="0" xfId="0" applyNumberFormat="1" applyFont="1" applyAlignment="1">
      <alignment horizontal="center" vertical="center"/>
    </xf>
    <xf numFmtId="44" fontId="44" fillId="0" borderId="0" xfId="0" applyNumberFormat="1" applyFont="1" applyAlignment="1">
      <alignment vertical="center"/>
    </xf>
    <xf numFmtId="0" fontId="35" fillId="28" borderId="92" xfId="0" applyFont="1" applyFill="1" applyBorder="1" applyAlignment="1">
      <alignment horizontal="center" vertical="center"/>
    </xf>
    <xf numFmtId="0" fontId="48" fillId="0" borderId="13" xfId="0" applyFont="1" applyBorder="1" applyAlignment="1">
      <alignment vertical="center"/>
    </xf>
    <xf numFmtId="0" fontId="48" fillId="0" borderId="13" xfId="0" applyFont="1" applyBorder="1" applyAlignment="1">
      <alignment horizontal="center" vertical="center"/>
    </xf>
    <xf numFmtId="0" fontId="35" fillId="27" borderId="54" xfId="0" applyFont="1" applyFill="1" applyBorder="1" applyAlignment="1">
      <alignment horizontal="left" vertical="center" wrapText="1"/>
    </xf>
    <xf numFmtId="0" fontId="35" fillId="27" borderId="54" xfId="0" applyFont="1" applyFill="1" applyBorder="1" applyAlignment="1">
      <alignment horizontal="center" vertical="center" wrapText="1"/>
    </xf>
    <xf numFmtId="0" fontId="35" fillId="28" borderId="24" xfId="0" applyFont="1" applyFill="1" applyBorder="1" applyAlignment="1">
      <alignment horizontal="left" vertical="center"/>
    </xf>
    <xf numFmtId="0" fontId="35" fillId="28" borderId="25" xfId="0" applyFont="1" applyFill="1" applyBorder="1" applyAlignment="1">
      <alignment horizontal="center" vertical="center"/>
    </xf>
    <xf numFmtId="0" fontId="35" fillId="28" borderId="18" xfId="0" applyFont="1" applyFill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35" fillId="32" borderId="35" xfId="0" applyFont="1" applyFill="1" applyBorder="1" applyAlignment="1">
      <alignment horizontal="center"/>
    </xf>
    <xf numFmtId="0" fontId="48" fillId="32" borderId="56" xfId="106" applyFont="1" applyFill="1" applyBorder="1" applyAlignment="1">
      <alignment horizontal="center" vertical="center"/>
    </xf>
    <xf numFmtId="0" fontId="48" fillId="32" borderId="45" xfId="106" applyFont="1" applyFill="1" applyBorder="1" applyAlignment="1">
      <alignment horizontal="center" vertical="center"/>
    </xf>
    <xf numFmtId="0" fontId="50" fillId="32" borderId="0" xfId="0" applyFont="1" applyFill="1"/>
    <xf numFmtId="0" fontId="48" fillId="0" borderId="2" xfId="104" applyFont="1" applyFill="1" applyBorder="1" applyAlignment="1">
      <alignment horizontal="center" vertical="center"/>
    </xf>
    <xf numFmtId="0" fontId="48" fillId="0" borderId="0" xfId="104" applyFont="1" applyFill="1" applyBorder="1" applyAlignment="1">
      <alignment horizontal="left" vertical="center"/>
    </xf>
    <xf numFmtId="0" fontId="48" fillId="28" borderId="24" xfId="104" applyFont="1" applyFill="1" applyBorder="1" applyAlignment="1">
      <alignment horizontal="center" wrapText="1"/>
    </xf>
    <xf numFmtId="0" fontId="48" fillId="28" borderId="25" xfId="104" applyFont="1" applyFill="1" applyBorder="1" applyAlignment="1">
      <alignment horizontal="left" wrapText="1"/>
    </xf>
    <xf numFmtId="0" fontId="48" fillId="28" borderId="25" xfId="104" applyFont="1" applyFill="1" applyBorder="1" applyAlignment="1">
      <alignment horizontal="center" wrapText="1"/>
    </xf>
    <xf numFmtId="0" fontId="50" fillId="28" borderId="0" xfId="0" applyFont="1" applyFill="1"/>
    <xf numFmtId="0" fontId="48" fillId="0" borderId="2" xfId="0" applyFont="1" applyBorder="1" applyAlignment="1">
      <alignment vertical="top"/>
    </xf>
    <xf numFmtId="0" fontId="48" fillId="28" borderId="2" xfId="0" applyFont="1" applyFill="1" applyBorder="1"/>
    <xf numFmtId="0" fontId="48" fillId="28" borderId="0" xfId="0" applyFont="1" applyFill="1"/>
    <xf numFmtId="0" fontId="48" fillId="28" borderId="0" xfId="0" applyFont="1" applyFill="1" applyAlignment="1">
      <alignment horizontal="center"/>
    </xf>
    <xf numFmtId="44" fontId="48" fillId="28" borderId="3" xfId="0" applyNumberFormat="1" applyFont="1" applyFill="1" applyBorder="1"/>
    <xf numFmtId="0" fontId="35" fillId="32" borderId="34" xfId="0" applyFont="1" applyFill="1" applyBorder="1"/>
    <xf numFmtId="0" fontId="35" fillId="32" borderId="35" xfId="0" applyFont="1" applyFill="1" applyBorder="1"/>
    <xf numFmtId="44" fontId="35" fillId="32" borderId="36" xfId="0" applyNumberFormat="1" applyFont="1" applyFill="1" applyBorder="1"/>
    <xf numFmtId="0" fontId="35" fillId="32" borderId="37" xfId="0" applyFont="1" applyFill="1" applyBorder="1"/>
    <xf numFmtId="0" fontId="35" fillId="32" borderId="0" xfId="0" applyFont="1" applyFill="1" applyAlignment="1">
      <alignment horizontal="center"/>
    </xf>
    <xf numFmtId="0" fontId="35" fillId="32" borderId="0" xfId="0" applyFont="1" applyFill="1"/>
    <xf numFmtId="167" fontId="35" fillId="32" borderId="28" xfId="0" applyNumberFormat="1" applyFont="1" applyFill="1" applyBorder="1"/>
    <xf numFmtId="0" fontId="35" fillId="32" borderId="67" xfId="0" applyFont="1" applyFill="1" applyBorder="1"/>
    <xf numFmtId="0" fontId="35" fillId="32" borderId="20" xfId="0" applyFont="1" applyFill="1" applyBorder="1" applyAlignment="1">
      <alignment horizontal="center"/>
    </xf>
    <xf numFmtId="0" fontId="35" fillId="32" borderId="20" xfId="0" applyFont="1" applyFill="1" applyBorder="1"/>
    <xf numFmtId="44" fontId="35" fillId="32" borderId="68" xfId="0" applyNumberFormat="1" applyFont="1" applyFill="1" applyBorder="1"/>
    <xf numFmtId="0" fontId="35" fillId="28" borderId="47" xfId="0" applyFont="1" applyFill="1" applyBorder="1" applyAlignment="1">
      <alignment horizontal="center" vertical="top" wrapText="1"/>
    </xf>
    <xf numFmtId="0" fontId="35" fillId="28" borderId="19" xfId="0" applyFont="1" applyFill="1" applyBorder="1" applyAlignment="1">
      <alignment horizontal="center" vertical="center"/>
    </xf>
    <xf numFmtId="0" fontId="35" fillId="28" borderId="20" xfId="0" applyFont="1" applyFill="1" applyBorder="1" applyAlignment="1">
      <alignment horizontal="center" vertical="center"/>
    </xf>
    <xf numFmtId="167" fontId="48" fillId="2" borderId="0" xfId="29" applyFont="1" applyFill="1" applyBorder="1"/>
    <xf numFmtId="0" fontId="48" fillId="32" borderId="37" xfId="0" applyFont="1" applyFill="1" applyBorder="1"/>
    <xf numFmtId="0" fontId="48" fillId="32" borderId="0" xfId="0" applyFont="1" applyFill="1"/>
    <xf numFmtId="0" fontId="48" fillId="32" borderId="28" xfId="0" applyFont="1" applyFill="1" applyBorder="1"/>
    <xf numFmtId="0" fontId="35" fillId="32" borderId="38" xfId="0" applyFont="1" applyFill="1" applyBorder="1"/>
    <xf numFmtId="0" fontId="35" fillId="32" borderId="31" xfId="0" applyFont="1" applyFill="1" applyBorder="1" applyAlignment="1">
      <alignment horizontal="center"/>
    </xf>
    <xf numFmtId="0" fontId="48" fillId="29" borderId="34" xfId="105" applyFont="1" applyFill="1" applyBorder="1"/>
    <xf numFmtId="0" fontId="48" fillId="29" borderId="35" xfId="105" applyFont="1" applyFill="1" applyBorder="1" applyAlignment="1">
      <alignment horizontal="center"/>
    </xf>
    <xf numFmtId="0" fontId="48" fillId="29" borderId="37" xfId="105" applyFont="1" applyFill="1" applyBorder="1"/>
    <xf numFmtId="0" fontId="48" fillId="29" borderId="0" xfId="105" applyFont="1" applyFill="1" applyBorder="1" applyAlignment="1">
      <alignment horizontal="center"/>
    </xf>
    <xf numFmtId="0" fontId="35" fillId="35" borderId="38" xfId="39" applyFont="1" applyFill="1" applyBorder="1"/>
    <xf numFmtId="0" fontId="35" fillId="35" borderId="31" xfId="39" applyFont="1" applyFill="1" applyBorder="1" applyAlignment="1">
      <alignment horizontal="center"/>
    </xf>
    <xf numFmtId="44" fontId="35" fillId="28" borderId="61" xfId="0" applyNumberFormat="1" applyFont="1" applyFill="1" applyBorder="1" applyAlignment="1">
      <alignment horizontal="center" vertical="top" wrapText="1"/>
    </xf>
    <xf numFmtId="44" fontId="35" fillId="28" borderId="62" xfId="0" applyNumberFormat="1" applyFont="1" applyFill="1" applyBorder="1" applyAlignment="1">
      <alignment horizontal="center" vertical="top" wrapText="1"/>
    </xf>
    <xf numFmtId="44" fontId="35" fillId="28" borderId="63" xfId="0" applyNumberFormat="1" applyFont="1" applyFill="1" applyBorder="1" applyAlignment="1">
      <alignment horizontal="center" vertical="top" wrapText="1"/>
    </xf>
    <xf numFmtId="0" fontId="0" fillId="0" borderId="2" xfId="0" applyBorder="1"/>
    <xf numFmtId="0" fontId="4" fillId="0" borderId="2" xfId="0" applyFont="1" applyBorder="1"/>
    <xf numFmtId="0" fontId="0" fillId="0" borderId="5" xfId="0" applyBorder="1"/>
    <xf numFmtId="0" fontId="0" fillId="0" borderId="3" xfId="0" applyBorder="1"/>
    <xf numFmtId="0" fontId="2" fillId="0" borderId="3" xfId="0" applyFont="1" applyBorder="1"/>
    <xf numFmtId="167" fontId="8" fillId="0" borderId="3" xfId="29" applyFill="1" applyBorder="1"/>
    <xf numFmtId="0" fontId="14" fillId="0" borderId="0" xfId="0" applyFont="1" applyAlignment="1">
      <alignment horizontal="center" wrapText="1"/>
    </xf>
    <xf numFmtId="178" fontId="35" fillId="32" borderId="24" xfId="79" applyFont="1" applyFill="1" applyBorder="1" applyAlignment="1" applyProtection="1">
      <alignment horizontal="center"/>
    </xf>
    <xf numFmtId="178" fontId="35" fillId="32" borderId="25" xfId="79" applyFont="1" applyFill="1" applyBorder="1" applyAlignment="1" applyProtection="1">
      <alignment horizontal="center"/>
    </xf>
    <xf numFmtId="178" fontId="35" fillId="32" borderId="26" xfId="79" applyFont="1" applyFill="1" applyBorder="1" applyAlignment="1" applyProtection="1">
      <alignment horizontal="center"/>
    </xf>
    <xf numFmtId="181" fontId="2" fillId="0" borderId="37" xfId="32" applyNumberFormat="1" applyBorder="1" applyAlignment="1">
      <alignment horizontal="left"/>
    </xf>
    <xf numFmtId="181" fontId="2" fillId="0" borderId="0" xfId="32" applyNumberFormat="1" applyAlignment="1">
      <alignment horizontal="left"/>
    </xf>
    <xf numFmtId="179" fontId="2" fillId="0" borderId="84" xfId="32" applyNumberFormat="1" applyBorder="1" applyAlignment="1">
      <alignment horizontal="left"/>
    </xf>
    <xf numFmtId="179" fontId="2" fillId="0" borderId="80" xfId="32" applyNumberFormat="1" applyBorder="1" applyAlignment="1">
      <alignment horizontal="left"/>
    </xf>
    <xf numFmtId="0" fontId="64" fillId="28" borderId="0" xfId="0" applyFont="1" applyFill="1" applyAlignment="1">
      <alignment horizontal="center"/>
    </xf>
    <xf numFmtId="0" fontId="65" fillId="0" borderId="0" xfId="0" applyFont="1" applyAlignment="1">
      <alignment horizontal="center" wrapText="1"/>
    </xf>
    <xf numFmtId="0" fontId="64" fillId="28" borderId="0" xfId="0" applyFont="1" applyFill="1"/>
    <xf numFmtId="173" fontId="62" fillId="0" borderId="0" xfId="0" applyNumberFormat="1" applyFont="1" applyAlignment="1">
      <alignment horizontal="center" vertical="center" wrapText="1"/>
    </xf>
    <xf numFmtId="0" fontId="64" fillId="28" borderId="0" xfId="0" applyFont="1" applyFill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173" fontId="62" fillId="0" borderId="0" xfId="0" applyNumberFormat="1" applyFont="1" applyAlignment="1">
      <alignment horizontal="center" vertical="center"/>
    </xf>
    <xf numFmtId="0" fontId="35" fillId="32" borderId="31" xfId="0" applyFont="1" applyFill="1" applyBorder="1" applyAlignment="1">
      <alignment horizontal="center" vertical="center"/>
    </xf>
    <xf numFmtId="0" fontId="48" fillId="29" borderId="24" xfId="104" applyFont="1" applyBorder="1" applyAlignment="1">
      <alignment horizontal="center" wrapText="1"/>
    </xf>
    <xf numFmtId="0" fontId="48" fillId="29" borderId="25" xfId="104" applyFont="1" applyBorder="1" applyAlignment="1">
      <alignment horizontal="center" wrapText="1"/>
    </xf>
    <xf numFmtId="0" fontId="35" fillId="29" borderId="65" xfId="104" applyFont="1" applyBorder="1" applyAlignment="1">
      <alignment horizontal="center" wrapText="1"/>
    </xf>
    <xf numFmtId="0" fontId="35" fillId="29" borderId="66" xfId="104" applyFont="1" applyBorder="1" applyAlignment="1">
      <alignment horizontal="center" wrapText="1"/>
    </xf>
    <xf numFmtId="0" fontId="35" fillId="29" borderId="64" xfId="104" applyFont="1" applyBorder="1" applyAlignment="1">
      <alignment horizontal="center" wrapText="1"/>
    </xf>
    <xf numFmtId="0" fontId="35" fillId="32" borderId="65" xfId="0" applyFont="1" applyFill="1" applyBorder="1" applyAlignment="1">
      <alignment horizontal="center" wrapText="1"/>
    </xf>
    <xf numFmtId="0" fontId="35" fillId="32" borderId="66" xfId="0" applyFont="1" applyFill="1" applyBorder="1" applyAlignment="1">
      <alignment horizontal="center" wrapText="1"/>
    </xf>
    <xf numFmtId="0" fontId="35" fillId="32" borderId="64" xfId="0" applyFont="1" applyFill="1" applyBorder="1" applyAlignment="1">
      <alignment horizontal="center" wrapText="1"/>
    </xf>
    <xf numFmtId="0" fontId="35" fillId="32" borderId="4" xfId="0" applyFont="1" applyFill="1" applyBorder="1" applyAlignment="1">
      <alignment horizontal="center" wrapText="1"/>
    </xf>
    <xf numFmtId="0" fontId="35" fillId="32" borderId="21" xfId="0" applyFont="1" applyFill="1" applyBorder="1" applyAlignment="1">
      <alignment horizontal="left" wrapText="1"/>
    </xf>
    <xf numFmtId="0" fontId="35" fillId="32" borderId="22" xfId="0" applyFont="1" applyFill="1" applyBorder="1" applyAlignment="1">
      <alignment horizontal="left" wrapText="1"/>
    </xf>
    <xf numFmtId="0" fontId="35" fillId="32" borderId="5" xfId="0" applyFont="1" applyFill="1" applyBorder="1" applyAlignment="1">
      <alignment horizontal="left" wrapText="1"/>
    </xf>
    <xf numFmtId="0" fontId="35" fillId="32" borderId="4" xfId="0" applyFont="1" applyFill="1" applyBorder="1" applyAlignment="1">
      <alignment horizontal="left" wrapText="1"/>
    </xf>
    <xf numFmtId="0" fontId="35" fillId="32" borderId="21" xfId="0" applyFont="1" applyFill="1" applyBorder="1" applyAlignment="1">
      <alignment horizontal="center" wrapText="1"/>
    </xf>
    <xf numFmtId="0" fontId="35" fillId="32" borderId="22" xfId="0" applyFont="1" applyFill="1" applyBorder="1" applyAlignment="1">
      <alignment horizontal="center" wrapText="1"/>
    </xf>
    <xf numFmtId="0" fontId="35" fillId="32" borderId="5" xfId="0" applyFont="1" applyFill="1" applyBorder="1" applyAlignment="1">
      <alignment horizontal="center" wrapText="1"/>
    </xf>
    <xf numFmtId="44" fontId="35" fillId="32" borderId="42" xfId="0" applyNumberFormat="1" applyFont="1" applyFill="1" applyBorder="1" applyAlignment="1">
      <alignment horizontal="center"/>
    </xf>
    <xf numFmtId="44" fontId="35" fillId="32" borderId="43" xfId="0" applyNumberFormat="1" applyFont="1" applyFill="1" applyBorder="1" applyAlignment="1">
      <alignment horizontal="center"/>
    </xf>
    <xf numFmtId="44" fontId="35" fillId="32" borderId="44" xfId="0" applyNumberFormat="1" applyFont="1" applyFill="1" applyBorder="1" applyAlignment="1">
      <alignment horizontal="center"/>
    </xf>
    <xf numFmtId="0" fontId="35" fillId="32" borderId="24" xfId="0" applyFont="1" applyFill="1" applyBorder="1" applyAlignment="1">
      <alignment horizontal="center" wrapText="1"/>
    </xf>
    <xf numFmtId="0" fontId="35" fillId="32" borderId="26" xfId="0" applyFont="1" applyFill="1" applyBorder="1" applyAlignment="1">
      <alignment horizontal="center" wrapText="1"/>
    </xf>
    <xf numFmtId="44" fontId="48" fillId="0" borderId="22" xfId="0" applyNumberFormat="1" applyFont="1" applyBorder="1" applyAlignment="1">
      <alignment horizontal="center" vertical="center"/>
    </xf>
    <xf numFmtId="44" fontId="48" fillId="0" borderId="5" xfId="0" applyNumberFormat="1" applyFont="1" applyBorder="1" applyAlignment="1">
      <alignment horizontal="center" vertical="center"/>
    </xf>
    <xf numFmtId="0" fontId="35" fillId="32" borderId="35" xfId="0" applyFont="1" applyFill="1" applyBorder="1" applyAlignment="1">
      <alignment horizontal="center"/>
    </xf>
    <xf numFmtId="0" fontId="35" fillId="12" borderId="89" xfId="0" applyFont="1" applyFill="1" applyBorder="1" applyAlignment="1">
      <alignment horizontal="center"/>
    </xf>
    <xf numFmtId="0" fontId="35" fillId="12" borderId="87" xfId="0" applyFont="1" applyFill="1" applyBorder="1" applyAlignment="1">
      <alignment horizontal="center"/>
    </xf>
    <xf numFmtId="0" fontId="35" fillId="12" borderId="92" xfId="0" applyFont="1" applyFill="1" applyBorder="1" applyAlignment="1">
      <alignment horizontal="center"/>
    </xf>
    <xf numFmtId="0" fontId="35" fillId="12" borderId="26" xfId="0" applyFont="1" applyFill="1" applyBorder="1" applyAlignment="1">
      <alignment horizontal="center"/>
    </xf>
    <xf numFmtId="0" fontId="35" fillId="12" borderId="93" xfId="0" applyFont="1" applyFill="1" applyBorder="1" applyAlignment="1">
      <alignment horizontal="center"/>
    </xf>
    <xf numFmtId="0" fontId="35" fillId="12" borderId="64" xfId="0" applyFont="1" applyFill="1" applyBorder="1" applyAlignment="1">
      <alignment horizontal="center"/>
    </xf>
    <xf numFmtId="0" fontId="35" fillId="28" borderId="60" xfId="0" applyFont="1" applyFill="1" applyBorder="1" applyAlignment="1">
      <alignment horizontal="center" vertical="center"/>
    </xf>
    <xf numFmtId="0" fontId="35" fillId="28" borderId="37" xfId="0" applyFont="1" applyFill="1" applyBorder="1" applyAlignment="1">
      <alignment horizontal="left" wrapText="1"/>
    </xf>
    <xf numFmtId="0" fontId="35" fillId="28" borderId="0" xfId="0" applyFont="1" applyFill="1" applyAlignment="1">
      <alignment horizontal="left" wrapText="1"/>
    </xf>
    <xf numFmtId="0" fontId="35" fillId="28" borderId="60" xfId="0" applyFont="1" applyFill="1" applyBorder="1" applyAlignment="1">
      <alignment horizontal="center"/>
    </xf>
    <xf numFmtId="0" fontId="35" fillId="28" borderId="45" xfId="0" applyFont="1" applyFill="1" applyBorder="1" applyAlignment="1">
      <alignment horizontal="center" vertical="center"/>
    </xf>
    <xf numFmtId="44" fontId="48" fillId="0" borderId="4" xfId="0" applyNumberFormat="1" applyFont="1" applyBorder="1" applyAlignment="1" applyProtection="1">
      <alignment horizontal="center" vertical="center"/>
      <protection locked="0" hidden="1"/>
    </xf>
    <xf numFmtId="0" fontId="35" fillId="28" borderId="25" xfId="0" applyFont="1" applyFill="1" applyBorder="1" applyAlignment="1" applyProtection="1">
      <alignment horizontal="center" vertical="center"/>
      <protection locked="0" hidden="1"/>
    </xf>
    <xf numFmtId="44" fontId="48" fillId="0" borderId="24" xfId="0" applyNumberFormat="1" applyFont="1" applyBorder="1" applyAlignment="1" applyProtection="1">
      <alignment horizontal="center" vertical="center"/>
      <protection locked="0" hidden="1"/>
    </xf>
    <xf numFmtId="44" fontId="48" fillId="0" borderId="21" xfId="0" applyNumberFormat="1" applyFont="1" applyBorder="1" applyAlignment="1" applyProtection="1">
      <alignment horizontal="center" vertical="center"/>
      <protection locked="0" hidden="1"/>
    </xf>
    <xf numFmtId="0" fontId="35" fillId="27" borderId="54" xfId="0" applyFont="1" applyFill="1" applyBorder="1" applyAlignment="1" applyProtection="1">
      <alignment horizontal="center" vertical="center" wrapText="1"/>
      <protection locked="0" hidden="1"/>
    </xf>
    <xf numFmtId="0" fontId="35" fillId="27" borderId="48" xfId="0" applyFont="1" applyFill="1" applyBorder="1" applyAlignment="1" applyProtection="1">
      <alignment horizontal="center" vertical="center" wrapText="1"/>
      <protection locked="0" hidden="1"/>
    </xf>
    <xf numFmtId="44" fontId="48" fillId="2" borderId="4" xfId="0" applyNumberFormat="1" applyFont="1" applyFill="1" applyBorder="1" applyAlignment="1" applyProtection="1">
      <alignment horizontal="center" vertical="center"/>
      <protection locked="0" hidden="1"/>
    </xf>
    <xf numFmtId="2" fontId="2" fillId="0" borderId="13" xfId="0" applyNumberFormat="1" applyFont="1" applyBorder="1" applyAlignment="1" applyProtection="1">
      <alignment horizontal="center"/>
      <protection locked="0" hidden="1"/>
    </xf>
    <xf numFmtId="2" fontId="2" fillId="0" borderId="29" xfId="0" applyNumberFormat="1" applyFont="1" applyBorder="1" applyAlignment="1" applyProtection="1">
      <alignment horizontal="center"/>
      <protection locked="0" hidden="1"/>
    </xf>
    <xf numFmtId="0" fontId="48" fillId="2" borderId="0" xfId="0" applyFont="1" applyFill="1" applyAlignment="1" applyProtection="1">
      <alignment horizontal="center"/>
      <protection locked="0" hidden="1"/>
    </xf>
    <xf numFmtId="44" fontId="48" fillId="2" borderId="0" xfId="29" applyNumberFormat="1" applyFont="1" applyFill="1" applyBorder="1" applyAlignment="1" applyProtection="1">
      <protection locked="0" hidden="1"/>
    </xf>
    <xf numFmtId="167" fontId="48" fillId="2" borderId="3" xfId="29" applyFont="1" applyFill="1" applyBorder="1" applyAlignment="1" applyProtection="1">
      <protection locked="0" hidden="1"/>
    </xf>
    <xf numFmtId="9" fontId="48" fillId="2" borderId="0" xfId="0" applyNumberFormat="1" applyFont="1" applyFill="1" applyAlignment="1" applyProtection="1">
      <alignment horizontal="center"/>
      <protection locked="0" hidden="1"/>
    </xf>
    <xf numFmtId="44" fontId="35" fillId="2" borderId="0" xfId="29" applyNumberFormat="1" applyFont="1" applyFill="1" applyBorder="1" applyAlignment="1" applyProtection="1">
      <protection locked="0" hidden="1"/>
    </xf>
    <xf numFmtId="0" fontId="48" fillId="0" borderId="0" xfId="0" applyFont="1" applyAlignment="1" applyProtection="1">
      <alignment horizontal="center"/>
      <protection locked="0" hidden="1"/>
    </xf>
    <xf numFmtId="44" fontId="48" fillId="0" borderId="0" xfId="29" applyNumberFormat="1" applyFont="1" applyFill="1" applyBorder="1" applyAlignment="1" applyProtection="1">
      <protection locked="0" hidden="1"/>
    </xf>
    <xf numFmtId="167" fontId="35" fillId="0" borderId="3" xfId="29" applyFont="1" applyFill="1" applyBorder="1" applyAlignment="1" applyProtection="1">
      <protection locked="0" hidden="1"/>
    </xf>
    <xf numFmtId="0" fontId="48" fillId="30" borderId="46" xfId="105" applyFont="1" applyBorder="1" applyAlignment="1" applyProtection="1">
      <alignment wrapText="1"/>
      <protection locked="0" hidden="1"/>
    </xf>
    <xf numFmtId="167" fontId="48" fillId="30" borderId="0" xfId="105" applyNumberFormat="1" applyFont="1" applyBorder="1" applyAlignment="1" applyProtection="1">
      <alignment horizontal="right"/>
      <protection locked="0" hidden="1"/>
    </xf>
    <xf numFmtId="44" fontId="48" fillId="30" borderId="0" xfId="105" applyNumberFormat="1" applyFont="1" applyBorder="1" applyAlignment="1" applyProtection="1">
      <protection locked="0" hidden="1"/>
    </xf>
    <xf numFmtId="0" fontId="48" fillId="30" borderId="50" xfId="105" applyFont="1" applyBorder="1" applyAlignment="1" applyProtection="1">
      <alignment wrapText="1"/>
      <protection locked="0" hidden="1"/>
    </xf>
    <xf numFmtId="10" fontId="48" fillId="2" borderId="0" xfId="0" applyNumberFormat="1" applyFont="1" applyFill="1" applyAlignment="1" applyProtection="1">
      <alignment horizontal="center"/>
      <protection locked="0" hidden="1"/>
    </xf>
    <xf numFmtId="4" fontId="48" fillId="0" borderId="0" xfId="0" applyNumberFormat="1" applyFont="1" applyAlignment="1" applyProtection="1">
      <alignment horizontal="center"/>
      <protection locked="0" hidden="1"/>
    </xf>
    <xf numFmtId="0" fontId="48" fillId="2" borderId="3" xfId="0" applyFont="1" applyFill="1" applyBorder="1" applyProtection="1">
      <protection locked="0" hidden="1"/>
    </xf>
    <xf numFmtId="43" fontId="48" fillId="2" borderId="3" xfId="0" applyNumberFormat="1" applyFont="1" applyFill="1" applyBorder="1" applyProtection="1">
      <protection locked="0" hidden="1"/>
    </xf>
    <xf numFmtId="0" fontId="48" fillId="30" borderId="52" xfId="105" applyFont="1" applyBorder="1" applyAlignment="1" applyProtection="1">
      <alignment wrapText="1"/>
      <protection locked="0" hidden="1"/>
    </xf>
    <xf numFmtId="167" fontId="48" fillId="30" borderId="20" xfId="105" applyNumberFormat="1" applyFont="1" applyBorder="1" applyAlignment="1" applyProtection="1">
      <alignment horizontal="right"/>
      <protection locked="0" hidden="1"/>
    </xf>
    <xf numFmtId="44" fontId="48" fillId="30" borderId="20" xfId="105" applyNumberFormat="1" applyFont="1" applyBorder="1" applyAlignment="1" applyProtection="1">
      <protection locked="0" hidden="1"/>
    </xf>
    <xf numFmtId="0" fontId="48" fillId="30" borderId="53" xfId="105" applyFont="1" applyBorder="1" applyAlignment="1" applyProtection="1">
      <alignment wrapText="1"/>
      <protection locked="0" hidden="1"/>
    </xf>
    <xf numFmtId="167" fontId="35" fillId="2" borderId="0" xfId="29" applyFont="1" applyFill="1" applyBorder="1" applyAlignment="1" applyProtection="1">
      <alignment horizontal="right"/>
      <protection locked="0" hidden="1"/>
    </xf>
    <xf numFmtId="167" fontId="35" fillId="2" borderId="0" xfId="29" applyFont="1" applyFill="1" applyBorder="1" applyAlignment="1" applyProtection="1">
      <protection locked="0" hidden="1"/>
    </xf>
    <xf numFmtId="0" fontId="48" fillId="31" borderId="48" xfId="106" applyFont="1" applyBorder="1" applyAlignment="1" applyProtection="1">
      <alignment horizontal="center" wrapText="1"/>
      <protection locked="0" hidden="1"/>
    </xf>
    <xf numFmtId="0" fontId="48" fillId="31" borderId="49" xfId="106" applyFont="1" applyBorder="1" applyAlignment="1" applyProtection="1">
      <alignment horizontal="center" wrapText="1"/>
      <protection locked="0" hidden="1"/>
    </xf>
    <xf numFmtId="0" fontId="48" fillId="2" borderId="0" xfId="0" applyFont="1" applyFill="1" applyProtection="1">
      <protection locked="0" hidden="1"/>
    </xf>
    <xf numFmtId="167" fontId="35" fillId="0" borderId="0" xfId="29" applyFont="1" applyFill="1" applyBorder="1" applyAlignment="1" applyProtection="1">
      <alignment horizontal="right"/>
      <protection locked="0" hidden="1"/>
    </xf>
    <xf numFmtId="167" fontId="35" fillId="0" borderId="0" xfId="29" applyFont="1" applyFill="1" applyBorder="1" applyAlignment="1" applyProtection="1">
      <protection locked="0" hidden="1"/>
    </xf>
    <xf numFmtId="0" fontId="48" fillId="0" borderId="3" xfId="0" applyFont="1" applyBorder="1" applyProtection="1">
      <protection locked="0" hidden="1"/>
    </xf>
    <xf numFmtId="0" fontId="48" fillId="32" borderId="20" xfId="105" applyFont="1" applyFill="1" applyBorder="1" applyAlignment="1" applyProtection="1">
      <alignment horizontal="center" vertical="center"/>
      <protection locked="0" hidden="1"/>
    </xf>
    <xf numFmtId="44" fontId="48" fillId="32" borderId="20" xfId="105" applyNumberFormat="1" applyFont="1" applyFill="1" applyBorder="1" applyAlignment="1" applyProtection="1">
      <alignment horizontal="center" vertical="center"/>
      <protection locked="0" hidden="1"/>
    </xf>
    <xf numFmtId="0" fontId="48" fillId="32" borderId="18" xfId="105" applyFont="1" applyFill="1" applyBorder="1" applyAlignment="1" applyProtection="1">
      <alignment horizontal="center" vertical="center"/>
      <protection locked="0" hidden="1"/>
    </xf>
    <xf numFmtId="0" fontId="35" fillId="0" borderId="22" xfId="0" applyFont="1" applyBorder="1" applyProtection="1">
      <protection locked="0" hidden="1"/>
    </xf>
    <xf numFmtId="0" fontId="35" fillId="0" borderId="5" xfId="0" applyFont="1" applyBorder="1" applyProtection="1">
      <protection locked="0" hidden="1"/>
    </xf>
    <xf numFmtId="0" fontId="48" fillId="2" borderId="20" xfId="0" applyFont="1" applyFill="1" applyBorder="1" applyAlignment="1" applyProtection="1">
      <alignment horizontal="center"/>
      <protection locked="0" hidden="1"/>
    </xf>
    <xf numFmtId="167" fontId="48" fillId="2" borderId="20" xfId="29" applyFont="1" applyFill="1" applyBorder="1" applyAlignment="1" applyProtection="1">
      <protection locked="0" hidden="1"/>
    </xf>
    <xf numFmtId="167" fontId="48" fillId="2" borderId="18" xfId="29" applyFont="1" applyFill="1" applyBorder="1" applyAlignment="1" applyProtection="1">
      <protection locked="0" hidden="1"/>
    </xf>
    <xf numFmtId="0" fontId="48" fillId="29" borderId="0" xfId="104" applyFont="1" applyBorder="1" applyAlignment="1" applyProtection="1">
      <alignment horizontal="center" vertical="center"/>
      <protection locked="0" hidden="1"/>
    </xf>
    <xf numFmtId="0" fontId="48" fillId="29" borderId="3" xfId="104" applyFont="1" applyBorder="1" applyAlignment="1" applyProtection="1">
      <alignment horizontal="center" vertical="center"/>
      <protection locked="0" hidden="1"/>
    </xf>
    <xf numFmtId="0" fontId="35" fillId="2" borderId="45" xfId="0" applyFont="1" applyFill="1" applyBorder="1" applyAlignment="1" applyProtection="1">
      <alignment horizontal="center" vertical="center"/>
      <protection locked="0" hidden="1"/>
    </xf>
    <xf numFmtId="0" fontId="35" fillId="2" borderId="57" xfId="0" applyFont="1" applyFill="1" applyBorder="1" applyAlignment="1" applyProtection="1">
      <alignment horizontal="center" vertical="center"/>
      <protection locked="0" hidden="1"/>
    </xf>
    <xf numFmtId="0" fontId="48" fillId="32" borderId="45" xfId="106" applyFont="1" applyFill="1" applyBorder="1" applyAlignment="1" applyProtection="1">
      <alignment horizontal="center" vertical="center"/>
      <protection locked="0" hidden="1"/>
    </xf>
    <xf numFmtId="0" fontId="48" fillId="32" borderId="57" xfId="106" applyFont="1" applyFill="1" applyBorder="1" applyAlignment="1" applyProtection="1">
      <alignment horizontal="center" vertical="center"/>
      <protection locked="0" hidden="1"/>
    </xf>
    <xf numFmtId="0" fontId="48" fillId="31" borderId="22" xfId="106" applyFont="1" applyBorder="1" applyAlignment="1" applyProtection="1">
      <alignment horizontal="center" wrapText="1"/>
      <protection locked="0" hidden="1"/>
    </xf>
    <xf numFmtId="0" fontId="48" fillId="31" borderId="5" xfId="106" applyFont="1" applyBorder="1" applyAlignment="1" applyProtection="1">
      <alignment horizontal="center" wrapText="1"/>
      <protection locked="0" hidden="1"/>
    </xf>
    <xf numFmtId="167" fontId="48" fillId="2" borderId="0" xfId="29" applyFont="1" applyFill="1" applyBorder="1" applyAlignment="1" applyProtection="1">
      <protection locked="0" hidden="1"/>
    </xf>
    <xf numFmtId="9" fontId="48" fillId="2" borderId="0" xfId="7" applyFont="1" applyFill="1" applyBorder="1" applyAlignment="1" applyProtection="1">
      <alignment horizontal="center"/>
      <protection locked="0" hidden="1"/>
    </xf>
    <xf numFmtId="10" fontId="48" fillId="0" borderId="0" xfId="0" applyNumberFormat="1" applyFont="1" applyAlignment="1" applyProtection="1">
      <alignment horizontal="center"/>
      <protection locked="0" hidden="1"/>
    </xf>
    <xf numFmtId="167" fontId="48" fillId="0" borderId="3" xfId="29" applyFont="1" applyFill="1" applyBorder="1" applyAlignment="1" applyProtection="1">
      <protection locked="0" hidden="1"/>
    </xf>
    <xf numFmtId="0" fontId="48" fillId="2" borderId="3" xfId="0" applyFont="1" applyFill="1" applyBorder="1" applyAlignment="1" applyProtection="1">
      <alignment wrapText="1"/>
      <protection locked="0" hidden="1"/>
    </xf>
    <xf numFmtId="0" fontId="48" fillId="0" borderId="20" xfId="0" applyFont="1" applyBorder="1" applyAlignment="1" applyProtection="1">
      <alignment horizontal="center"/>
      <protection locked="0" hidden="1"/>
    </xf>
    <xf numFmtId="44" fontId="48" fillId="2" borderId="20" xfId="29" applyNumberFormat="1" applyFont="1" applyFill="1" applyBorder="1" applyAlignment="1" applyProtection="1">
      <protection locked="0" hidden="1"/>
    </xf>
    <xf numFmtId="0" fontId="48" fillId="2" borderId="18" xfId="0" applyFont="1" applyFill="1" applyBorder="1" applyProtection="1">
      <protection locked="0" hidden="1"/>
    </xf>
    <xf numFmtId="0" fontId="48" fillId="30" borderId="20" xfId="105" applyFont="1" applyBorder="1" applyAlignment="1" applyProtection="1">
      <alignment wrapText="1"/>
      <protection locked="0" hidden="1"/>
    </xf>
    <xf numFmtId="0" fontId="48" fillId="30" borderId="18" xfId="105" applyFont="1" applyBorder="1" applyAlignment="1" applyProtection="1">
      <alignment wrapText="1"/>
      <protection locked="0" hidden="1"/>
    </xf>
    <xf numFmtId="0" fontId="48" fillId="2" borderId="22" xfId="0" applyFont="1" applyFill="1" applyBorder="1" applyAlignment="1" applyProtection="1">
      <alignment horizontal="center"/>
      <protection locked="0" hidden="1"/>
    </xf>
    <xf numFmtId="167" fontId="48" fillId="2" borderId="22" xfId="29" applyFont="1" applyFill="1" applyBorder="1" applyAlignment="1" applyProtection="1">
      <protection locked="0" hidden="1"/>
    </xf>
    <xf numFmtId="167" fontId="48" fillId="2" borderId="5" xfId="29" applyFont="1" applyFill="1" applyBorder="1" applyAlignment="1" applyProtection="1">
      <protection locked="0" hidden="1"/>
    </xf>
    <xf numFmtId="0" fontId="48" fillId="30" borderId="0" xfId="105" applyFont="1" applyBorder="1" applyAlignment="1" applyProtection="1">
      <alignment horizontal="center" vertical="center"/>
      <protection locked="0" hidden="1"/>
    </xf>
    <xf numFmtId="44" fontId="48" fillId="30" borderId="0" xfId="105" applyNumberFormat="1" applyFont="1" applyBorder="1" applyAlignment="1" applyProtection="1">
      <alignment horizontal="center" vertical="center"/>
      <protection locked="0" hidden="1"/>
    </xf>
    <xf numFmtId="0" fontId="48" fillId="30" borderId="3" xfId="105" applyFont="1" applyBorder="1" applyAlignment="1" applyProtection="1">
      <alignment horizontal="center" vertical="center"/>
      <protection locked="0" hidden="1"/>
    </xf>
    <xf numFmtId="0" fontId="35" fillId="2" borderId="22" xfId="0" applyFont="1" applyFill="1" applyBorder="1" applyAlignment="1" applyProtection="1">
      <alignment horizontal="center" vertical="center"/>
      <protection locked="0" hidden="1"/>
    </xf>
    <xf numFmtId="44" fontId="35" fillId="2" borderId="22" xfId="0" applyNumberFormat="1" applyFont="1" applyFill="1" applyBorder="1" applyAlignment="1" applyProtection="1">
      <alignment horizontal="center" vertical="center"/>
      <protection locked="0" hidden="1"/>
    </xf>
    <xf numFmtId="0" fontId="35" fillId="2" borderId="5" xfId="0" applyFont="1" applyFill="1" applyBorder="1" applyAlignment="1" applyProtection="1">
      <alignment horizontal="center" vertical="center"/>
      <protection locked="0" hidden="1"/>
    </xf>
    <xf numFmtId="0" fontId="48" fillId="29" borderId="22" xfId="104" applyFont="1" applyBorder="1" applyAlignment="1" applyProtection="1">
      <alignment horizontal="center" vertical="center"/>
      <protection locked="0" hidden="1"/>
    </xf>
    <xf numFmtId="0" fontId="48" fillId="29" borderId="5" xfId="104" applyFont="1" applyBorder="1" applyAlignment="1" applyProtection="1">
      <alignment horizontal="center" vertical="center"/>
      <protection locked="0" hidden="1"/>
    </xf>
    <xf numFmtId="2" fontId="48" fillId="2" borderId="22" xfId="0" applyNumberFormat="1" applyFont="1" applyFill="1" applyBorder="1" applyAlignment="1" applyProtection="1">
      <alignment horizontal="center"/>
      <protection locked="0" hidden="1"/>
    </xf>
    <xf numFmtId="44" fontId="48" fillId="2" borderId="22" xfId="29" applyNumberFormat="1" applyFont="1" applyFill="1" applyBorder="1" applyAlignment="1" applyProtection="1">
      <protection locked="0" hidden="1"/>
    </xf>
    <xf numFmtId="2" fontId="48" fillId="2" borderId="0" xfId="0" applyNumberFormat="1" applyFont="1" applyFill="1" applyAlignment="1" applyProtection="1">
      <alignment horizontal="center"/>
      <protection locked="0" hidden="1"/>
    </xf>
    <xf numFmtId="2" fontId="48" fillId="2" borderId="20" xfId="0" applyNumberFormat="1" applyFont="1" applyFill="1" applyBorder="1" applyAlignment="1" applyProtection="1">
      <alignment horizontal="center"/>
      <protection locked="0" hidden="1"/>
    </xf>
    <xf numFmtId="44" fontId="48" fillId="2" borderId="22" xfId="0" applyNumberFormat="1" applyFont="1" applyFill="1" applyBorder="1" applyProtection="1">
      <protection locked="0" hidden="1"/>
    </xf>
    <xf numFmtId="44" fontId="48" fillId="2" borderId="0" xfId="0" applyNumberFormat="1" applyFont="1" applyFill="1" applyProtection="1">
      <protection locked="0" hidden="1"/>
    </xf>
    <xf numFmtId="44" fontId="48" fillId="2" borderId="20" xfId="0" applyNumberFormat="1" applyFont="1" applyFill="1" applyBorder="1" applyProtection="1">
      <protection locked="0" hidden="1"/>
    </xf>
    <xf numFmtId="44" fontId="48" fillId="2" borderId="0" xfId="29" applyNumberFormat="1" applyFont="1" applyFill="1" applyBorder="1" applyAlignment="1" applyProtection="1">
      <alignment horizontal="center"/>
      <protection locked="0" hidden="1"/>
    </xf>
    <xf numFmtId="0" fontId="48" fillId="30" borderId="54" xfId="105" applyFont="1" applyBorder="1" applyAlignment="1" applyProtection="1">
      <alignment wrapText="1"/>
      <protection locked="0" hidden="1"/>
    </xf>
    <xf numFmtId="0" fontId="48" fillId="30" borderId="55" xfId="105" applyFont="1" applyBorder="1" applyAlignment="1" applyProtection="1">
      <alignment wrapText="1"/>
      <protection locked="0" hidden="1"/>
    </xf>
    <xf numFmtId="44" fontId="48" fillId="30" borderId="3" xfId="105" applyNumberFormat="1" applyFont="1" applyBorder="1" applyAlignment="1" applyProtection="1">
      <alignment horizontal="center" vertical="center"/>
      <protection locked="0" hidden="1"/>
    </xf>
    <xf numFmtId="44" fontId="35" fillId="2" borderId="0" xfId="0" applyNumberFormat="1" applyFont="1" applyFill="1" applyAlignment="1" applyProtection="1">
      <alignment horizontal="center" vertical="center"/>
      <protection locked="0" hidden="1"/>
    </xf>
    <xf numFmtId="44" fontId="35" fillId="2" borderId="3" xfId="0" applyNumberFormat="1" applyFont="1" applyFill="1" applyBorder="1" applyAlignment="1" applyProtection="1">
      <alignment horizontal="center" vertical="center"/>
      <protection locked="0" hidden="1"/>
    </xf>
    <xf numFmtId="0" fontId="48" fillId="2" borderId="25" xfId="0" applyFont="1" applyFill="1" applyBorder="1" applyAlignment="1" applyProtection="1">
      <alignment horizontal="center"/>
      <protection locked="0" hidden="1"/>
    </xf>
    <xf numFmtId="0" fontId="48" fillId="2" borderId="25" xfId="0" applyFont="1" applyFill="1" applyBorder="1" applyProtection="1">
      <protection locked="0" hidden="1"/>
    </xf>
    <xf numFmtId="167" fontId="48" fillId="2" borderId="26" xfId="0" applyNumberFormat="1" applyFont="1" applyFill="1" applyBorder="1" applyProtection="1">
      <protection locked="0" hidden="1"/>
    </xf>
    <xf numFmtId="0" fontId="48" fillId="29" borderId="45" xfId="104" applyFont="1" applyBorder="1" applyAlignment="1" applyProtection="1">
      <alignment horizontal="center" vertical="center"/>
      <protection locked="0" hidden="1"/>
    </xf>
    <xf numFmtId="0" fontId="48" fillId="29" borderId="57" xfId="104" applyFont="1" applyBorder="1" applyAlignment="1" applyProtection="1">
      <alignment horizontal="center" vertical="center"/>
      <protection locked="0" hidden="1"/>
    </xf>
    <xf numFmtId="0" fontId="48" fillId="2" borderId="0" xfId="0" applyFont="1" applyFill="1" applyAlignment="1" applyProtection="1">
      <alignment horizontal="center" vertical="center"/>
      <protection locked="0" hidden="1"/>
    </xf>
    <xf numFmtId="44" fontId="48" fillId="2" borderId="0" xfId="0" applyNumberFormat="1" applyFont="1" applyFill="1" applyAlignment="1" applyProtection="1">
      <alignment vertical="center"/>
      <protection locked="0" hidden="1"/>
    </xf>
    <xf numFmtId="167" fontId="48" fillId="0" borderId="3" xfId="29" applyFont="1" applyFill="1" applyBorder="1" applyAlignment="1" applyProtection="1">
      <alignment vertical="center"/>
      <protection locked="0" hidden="1"/>
    </xf>
    <xf numFmtId="9" fontId="48" fillId="0" borderId="3" xfId="7" applyFont="1" applyFill="1" applyBorder="1" applyAlignment="1" applyProtection="1">
      <alignment vertical="center"/>
      <protection locked="0" hidden="1"/>
    </xf>
    <xf numFmtId="167" fontId="48" fillId="30" borderId="53" xfId="105" applyNumberFormat="1" applyFont="1" applyBorder="1" applyAlignment="1" applyProtection="1">
      <alignment wrapText="1"/>
      <protection locked="0" hidden="1"/>
    </xf>
    <xf numFmtId="0" fontId="48" fillId="2" borderId="0" xfId="0" applyFont="1" applyFill="1" applyAlignment="1" applyProtection="1">
      <alignment wrapText="1"/>
      <protection locked="0" hidden="1"/>
    </xf>
    <xf numFmtId="2" fontId="48" fillId="2" borderId="0" xfId="0" applyNumberFormat="1" applyFont="1" applyFill="1" applyAlignment="1" applyProtection="1">
      <alignment horizontal="center" vertical="center"/>
      <protection locked="0" hidden="1"/>
    </xf>
    <xf numFmtId="0" fontId="48" fillId="30" borderId="45" xfId="105" applyFont="1" applyBorder="1" applyAlignment="1" applyProtection="1">
      <alignment horizontal="center" vertical="center"/>
      <protection locked="0" hidden="1"/>
    </xf>
    <xf numFmtId="44" fontId="48" fillId="30" borderId="45" xfId="105" applyNumberFormat="1" applyFont="1" applyBorder="1" applyAlignment="1" applyProtection="1">
      <alignment horizontal="center" vertical="center"/>
      <protection locked="0" hidden="1"/>
    </xf>
    <xf numFmtId="44" fontId="48" fillId="30" borderId="57" xfId="105" applyNumberFormat="1" applyFont="1" applyBorder="1" applyAlignment="1" applyProtection="1">
      <alignment horizontal="center" vertical="center"/>
      <protection locked="0" hidden="1"/>
    </xf>
    <xf numFmtId="0" fontId="48" fillId="2" borderId="26" xfId="0" applyFont="1" applyFill="1" applyBorder="1" applyProtection="1">
      <protection locked="0" hidden="1"/>
    </xf>
    <xf numFmtId="9" fontId="48" fillId="2" borderId="22" xfId="0" applyNumberFormat="1" applyFont="1" applyFill="1" applyBorder="1" applyAlignment="1" applyProtection="1">
      <alignment horizontal="center" vertical="center"/>
      <protection locked="0" hidden="1"/>
    </xf>
    <xf numFmtId="44" fontId="48" fillId="0" borderId="22" xfId="0" applyNumberFormat="1" applyFont="1" applyBorder="1" applyProtection="1">
      <protection locked="0" hidden="1"/>
    </xf>
    <xf numFmtId="44" fontId="48" fillId="2" borderId="5" xfId="0" applyNumberFormat="1" applyFont="1" applyFill="1" applyBorder="1" applyProtection="1">
      <protection locked="0" hidden="1"/>
    </xf>
    <xf numFmtId="9" fontId="48" fillId="2" borderId="0" xfId="0" applyNumberFormat="1" applyFont="1" applyFill="1" applyAlignment="1" applyProtection="1">
      <alignment horizontal="center" vertical="center"/>
      <protection locked="0" hidden="1"/>
    </xf>
    <xf numFmtId="44" fontId="48" fillId="0" borderId="0" xfId="0" applyNumberFormat="1" applyFont="1" applyProtection="1">
      <protection locked="0" hidden="1"/>
    </xf>
    <xf numFmtId="44" fontId="48" fillId="2" borderId="3" xfId="0" applyNumberFormat="1" applyFont="1" applyFill="1" applyBorder="1" applyProtection="1">
      <protection locked="0" hidden="1"/>
    </xf>
    <xf numFmtId="9" fontId="48" fillId="0" borderId="0" xfId="0" applyNumberFormat="1" applyFont="1" applyAlignment="1" applyProtection="1">
      <alignment horizontal="center" vertical="center"/>
      <protection locked="0" hidden="1"/>
    </xf>
    <xf numFmtId="44" fontId="48" fillId="0" borderId="0" xfId="0" applyNumberFormat="1" applyFont="1" applyAlignment="1" applyProtection="1">
      <alignment vertical="center"/>
      <protection locked="0" hidden="1"/>
    </xf>
    <xf numFmtId="44" fontId="48" fillId="0" borderId="0" xfId="29" applyNumberFormat="1" applyFont="1" applyFill="1" applyBorder="1" applyAlignment="1" applyProtection="1">
      <alignment vertical="center"/>
      <protection locked="0" hidden="1"/>
    </xf>
    <xf numFmtId="44" fontId="48" fillId="30" borderId="53" xfId="105" applyNumberFormat="1" applyFont="1" applyBorder="1" applyAlignment="1" applyProtection="1">
      <alignment wrapText="1"/>
      <protection locked="0" hidden="1"/>
    </xf>
    <xf numFmtId="0" fontId="48" fillId="2" borderId="54" xfId="0" applyFont="1" applyFill="1" applyBorder="1" applyAlignment="1" applyProtection="1">
      <alignment wrapText="1"/>
      <protection locked="0" hidden="1"/>
    </xf>
    <xf numFmtId="0" fontId="48" fillId="2" borderId="55" xfId="0" applyFont="1" applyFill="1" applyBorder="1" applyAlignment="1" applyProtection="1">
      <alignment wrapText="1"/>
      <protection locked="0" hidden="1"/>
    </xf>
    <xf numFmtId="9" fontId="48" fillId="2" borderId="22" xfId="0" applyNumberFormat="1" applyFont="1" applyFill="1" applyBorder="1" applyAlignment="1" applyProtection="1">
      <alignment horizontal="center"/>
      <protection locked="0" hidden="1"/>
    </xf>
    <xf numFmtId="167" fontId="48" fillId="2" borderId="0" xfId="0" applyNumberFormat="1" applyFont="1" applyFill="1" applyProtection="1">
      <protection locked="0" hidden="1"/>
    </xf>
    <xf numFmtId="167" fontId="48" fillId="2" borderId="3" xfId="0" applyNumberFormat="1" applyFont="1" applyFill="1" applyBorder="1" applyProtection="1">
      <protection locked="0" hidden="1"/>
    </xf>
    <xf numFmtId="0" fontId="48" fillId="31" borderId="25" xfId="106" applyFont="1" applyBorder="1" applyAlignment="1" applyProtection="1">
      <alignment horizontal="center"/>
      <protection locked="0" hidden="1"/>
    </xf>
    <xf numFmtId="44" fontId="48" fillId="31" borderId="25" xfId="106" applyNumberFormat="1" applyFont="1" applyBorder="1" applyProtection="1">
      <protection locked="0" hidden="1"/>
    </xf>
    <xf numFmtId="44" fontId="48" fillId="31" borderId="25" xfId="106" applyNumberFormat="1" applyFont="1" applyBorder="1" applyAlignment="1" applyProtection="1">
      <protection locked="0" hidden="1"/>
    </xf>
    <xf numFmtId="44" fontId="48" fillId="31" borderId="26" xfId="106" applyNumberFormat="1" applyFont="1" applyBorder="1" applyProtection="1">
      <protection locked="0" hidden="1"/>
    </xf>
    <xf numFmtId="2" fontId="48" fillId="0" borderId="22" xfId="0" applyNumberFormat="1" applyFont="1" applyBorder="1" applyAlignment="1" applyProtection="1">
      <alignment horizontal="center"/>
      <protection locked="0" hidden="1"/>
    </xf>
    <xf numFmtId="0" fontId="48" fillId="0" borderId="5" xfId="0" applyFont="1" applyBorder="1" applyProtection="1">
      <protection locked="0" hidden="1"/>
    </xf>
    <xf numFmtId="2" fontId="48" fillId="0" borderId="0" xfId="0" applyNumberFormat="1" applyFont="1" applyAlignment="1" applyProtection="1">
      <alignment horizontal="center"/>
      <protection locked="0" hidden="1"/>
    </xf>
    <xf numFmtId="2" fontId="48" fillId="0" borderId="20" xfId="0" applyNumberFormat="1" applyFont="1" applyBorder="1" applyAlignment="1" applyProtection="1">
      <alignment horizontal="center"/>
      <protection locked="0" hidden="1"/>
    </xf>
    <xf numFmtId="44" fontId="48" fillId="0" borderId="20" xfId="0" applyNumberFormat="1" applyFont="1" applyBorder="1" applyProtection="1">
      <protection locked="0" hidden="1"/>
    </xf>
    <xf numFmtId="0" fontId="48" fillId="0" borderId="18" xfId="0" applyFont="1" applyBorder="1" applyProtection="1">
      <protection locked="0" hidden="1"/>
    </xf>
    <xf numFmtId="0" fontId="48" fillId="30" borderId="0" xfId="105" applyFont="1" applyBorder="1" applyAlignment="1" applyProtection="1">
      <alignment wrapText="1"/>
      <protection locked="0" hidden="1"/>
    </xf>
    <xf numFmtId="0" fontId="48" fillId="30" borderId="3" xfId="105" applyFont="1" applyBorder="1" applyAlignment="1" applyProtection="1">
      <alignment wrapText="1"/>
      <protection locked="0" hidden="1"/>
    </xf>
    <xf numFmtId="0" fontId="48" fillId="2" borderId="20" xfId="0" applyFont="1" applyFill="1" applyBorder="1" applyProtection="1">
      <protection locked="0" hidden="1"/>
    </xf>
    <xf numFmtId="167" fontId="48" fillId="2" borderId="20" xfId="0" applyNumberFormat="1" applyFont="1" applyFill="1" applyBorder="1" applyProtection="1">
      <protection locked="0" hidden="1"/>
    </xf>
    <xf numFmtId="167" fontId="48" fillId="2" borderId="18" xfId="29" applyFont="1" applyFill="1" applyBorder="1" applyAlignment="1" applyProtection="1">
      <alignment horizontal="center"/>
      <protection locked="0" hidden="1"/>
    </xf>
    <xf numFmtId="4" fontId="48" fillId="2" borderId="22" xfId="29" applyNumberFormat="1" applyFont="1" applyFill="1" applyBorder="1" applyAlignment="1" applyProtection="1">
      <alignment horizontal="center"/>
      <protection locked="0" hidden="1"/>
    </xf>
    <xf numFmtId="2" fontId="48" fillId="2" borderId="5" xfId="0" applyNumberFormat="1" applyFont="1" applyFill="1" applyBorder="1" applyProtection="1">
      <protection locked="0" hidden="1"/>
    </xf>
    <xf numFmtId="4" fontId="48" fillId="2" borderId="0" xfId="29" applyNumberFormat="1" applyFont="1" applyFill="1" applyBorder="1" applyAlignment="1" applyProtection="1">
      <alignment horizontal="center"/>
      <protection locked="0" hidden="1"/>
    </xf>
    <xf numFmtId="0" fontId="35" fillId="2" borderId="0" xfId="0" applyFont="1" applyFill="1" applyProtection="1">
      <protection locked="0" hidden="1"/>
    </xf>
    <xf numFmtId="0" fontId="35" fillId="2" borderId="3" xfId="0" applyFont="1" applyFill="1" applyBorder="1" applyProtection="1">
      <protection locked="0" hidden="1"/>
    </xf>
    <xf numFmtId="167" fontId="48" fillId="2" borderId="3" xfId="29" applyFont="1" applyFill="1" applyBorder="1" applyProtection="1">
      <protection locked="0" hidden="1"/>
    </xf>
    <xf numFmtId="9" fontId="48" fillId="2" borderId="3" xfId="7" applyFont="1" applyFill="1" applyBorder="1" applyProtection="1">
      <protection locked="0" hidden="1"/>
    </xf>
    <xf numFmtId="3" fontId="48" fillId="2" borderId="0" xfId="0" applyNumberFormat="1" applyFont="1" applyFill="1" applyAlignment="1" applyProtection="1">
      <alignment horizontal="center"/>
      <protection locked="0" hidden="1"/>
    </xf>
    <xf numFmtId="0" fontId="48" fillId="31" borderId="0" xfId="106" applyFont="1" applyBorder="1" applyAlignment="1" applyProtection="1">
      <alignment horizontal="center" wrapText="1"/>
      <protection locked="0" hidden="1"/>
    </xf>
    <xf numFmtId="0" fontId="48" fillId="31" borderId="3" xfId="106" applyFont="1" applyBorder="1" applyAlignment="1" applyProtection="1">
      <alignment horizontal="center" wrapText="1"/>
      <protection locked="0" hidden="1"/>
    </xf>
    <xf numFmtId="4" fontId="48" fillId="0" borderId="22" xfId="0" applyNumberFormat="1" applyFont="1" applyBorder="1" applyAlignment="1" applyProtection="1">
      <alignment horizontal="center"/>
      <protection locked="0" hidden="1"/>
    </xf>
    <xf numFmtId="0" fontId="48" fillId="0" borderId="22" xfId="0" applyFont="1" applyBorder="1" applyProtection="1">
      <protection locked="0" hidden="1"/>
    </xf>
    <xf numFmtId="0" fontId="48" fillId="0" borderId="0" xfId="0" applyFont="1" applyProtection="1">
      <protection locked="0" hidden="1"/>
    </xf>
    <xf numFmtId="167" fontId="48" fillId="0" borderId="0" xfId="29" applyFont="1" applyFill="1" applyBorder="1" applyAlignment="1" applyProtection="1">
      <protection locked="0" hidden="1"/>
    </xf>
    <xf numFmtId="4" fontId="48" fillId="2" borderId="0" xfId="0" applyNumberFormat="1" applyFont="1" applyFill="1" applyAlignment="1" applyProtection="1">
      <alignment horizontal="center"/>
      <protection locked="0" hidden="1"/>
    </xf>
    <xf numFmtId="44" fontId="48" fillId="30" borderId="3" xfId="105" applyNumberFormat="1" applyFont="1" applyBorder="1" applyAlignment="1" applyProtection="1">
      <protection locked="0" hidden="1"/>
    </xf>
    <xf numFmtId="9" fontId="48" fillId="2" borderId="22" xfId="7" applyFont="1" applyFill="1" applyBorder="1" applyAlignment="1" applyProtection="1">
      <alignment horizontal="center"/>
      <protection locked="0" hidden="1"/>
    </xf>
    <xf numFmtId="0" fontId="48" fillId="2" borderId="5" xfId="0" applyFont="1" applyFill="1" applyBorder="1" applyProtection="1">
      <protection locked="0" hidden="1"/>
    </xf>
    <xf numFmtId="0" fontId="48" fillId="0" borderId="0" xfId="0" applyFont="1" applyAlignment="1" applyProtection="1">
      <alignment horizontal="center" vertical="center"/>
      <protection locked="0" hidden="1"/>
    </xf>
    <xf numFmtId="44" fontId="48" fillId="0" borderId="0" xfId="0" applyNumberFormat="1" applyFont="1" applyAlignment="1" applyProtection="1">
      <alignment horizontal="center" vertical="center"/>
      <protection locked="0" hidden="1"/>
    </xf>
    <xf numFmtId="0" fontId="48" fillId="0" borderId="3" xfId="0" applyFont="1" applyBorder="1" applyAlignment="1" applyProtection="1">
      <alignment horizontal="center" vertical="center"/>
      <protection locked="0" hidden="1"/>
    </xf>
    <xf numFmtId="0" fontId="48" fillId="7" borderId="0" xfId="0" applyFont="1" applyFill="1" applyProtection="1">
      <protection locked="0" hidden="1"/>
    </xf>
    <xf numFmtId="167" fontId="48" fillId="7" borderId="0" xfId="105" applyNumberFormat="1" applyFont="1" applyFill="1" applyBorder="1" applyAlignment="1" applyProtection="1">
      <alignment horizontal="right"/>
      <protection locked="0" hidden="1"/>
    </xf>
    <xf numFmtId="44" fontId="48" fillId="7" borderId="0" xfId="105" applyNumberFormat="1" applyFont="1" applyFill="1" applyBorder="1" applyAlignment="1" applyProtection="1">
      <protection locked="0" hidden="1"/>
    </xf>
    <xf numFmtId="0" fontId="48" fillId="7" borderId="0" xfId="105" applyFont="1" applyFill="1" applyBorder="1" applyAlignment="1" applyProtection="1">
      <alignment wrapText="1"/>
      <protection locked="0" hidden="1"/>
    </xf>
    <xf numFmtId="44" fontId="48" fillId="7" borderId="0" xfId="105" applyNumberFormat="1" applyFont="1" applyFill="1" applyBorder="1" applyAlignment="1" applyProtection="1">
      <alignment horizontal="center" vertical="center"/>
      <protection locked="0" hidden="1"/>
    </xf>
    <xf numFmtId="44" fontId="48" fillId="0" borderId="3" xfId="0" applyNumberFormat="1" applyFont="1" applyBorder="1" applyProtection="1">
      <protection locked="0" hidden="1"/>
    </xf>
    <xf numFmtId="0" fontId="48" fillId="30" borderId="20" xfId="105" applyFont="1" applyBorder="1" applyAlignment="1" applyProtection="1">
      <alignment horizontal="center" vertical="center"/>
      <protection locked="0" hidden="1"/>
    </xf>
    <xf numFmtId="44" fontId="48" fillId="30" borderId="18" xfId="105" applyNumberFormat="1" applyFont="1" applyBorder="1" applyAlignment="1" applyProtection="1">
      <alignment horizontal="center" vertical="center"/>
      <protection locked="0" hidden="1"/>
    </xf>
    <xf numFmtId="0" fontId="48" fillId="29" borderId="25" xfId="104" applyFont="1" applyBorder="1" applyAlignment="1" applyProtection="1">
      <alignment horizontal="center" vertical="center"/>
      <protection locked="0" hidden="1"/>
    </xf>
    <xf numFmtId="0" fontId="48" fillId="29" borderId="26" xfId="104" applyFont="1" applyBorder="1" applyAlignment="1" applyProtection="1">
      <alignment horizontal="center" vertical="center"/>
      <protection locked="0" hidden="1"/>
    </xf>
    <xf numFmtId="0" fontId="35" fillId="2" borderId="0" xfId="0" applyFont="1" applyFill="1" applyAlignment="1" applyProtection="1">
      <alignment horizontal="center" vertical="center"/>
      <protection locked="0" hidden="1"/>
    </xf>
    <xf numFmtId="0" fontId="35" fillId="2" borderId="3" xfId="0" applyFont="1" applyFill="1" applyBorder="1" applyAlignment="1" applyProtection="1">
      <alignment horizontal="center" vertical="center"/>
      <protection locked="0" hidden="1"/>
    </xf>
    <xf numFmtId="0" fontId="48" fillId="28" borderId="25" xfId="104" applyFont="1" applyFill="1" applyBorder="1" applyAlignment="1" applyProtection="1">
      <alignment horizontal="center" wrapText="1"/>
      <protection locked="0" hidden="1"/>
    </xf>
    <xf numFmtId="44" fontId="48" fillId="28" borderId="25" xfId="104" applyNumberFormat="1" applyFont="1" applyFill="1" applyBorder="1" applyAlignment="1" applyProtection="1">
      <alignment horizontal="center" wrapText="1"/>
      <protection locked="0" hidden="1"/>
    </xf>
    <xf numFmtId="0" fontId="48" fillId="28" borderId="26" xfId="104" applyFont="1" applyFill="1" applyBorder="1" applyAlignment="1" applyProtection="1">
      <alignment horizontal="center" wrapText="1"/>
      <protection locked="0" hidden="1"/>
    </xf>
    <xf numFmtId="44" fontId="48" fillId="30" borderId="20" xfId="105" applyNumberFormat="1" applyFont="1" applyBorder="1" applyAlignment="1" applyProtection="1">
      <alignment horizontal="center" vertical="center"/>
      <protection locked="0" hidden="1"/>
    </xf>
    <xf numFmtId="0" fontId="48" fillId="0" borderId="0" xfId="104" applyFont="1" applyFill="1" applyBorder="1" applyAlignment="1" applyProtection="1">
      <alignment horizontal="center" vertical="center"/>
      <protection locked="0" hidden="1"/>
    </xf>
    <xf numFmtId="0" fontId="48" fillId="0" borderId="3" xfId="104" applyFont="1" applyFill="1" applyBorder="1" applyAlignment="1" applyProtection="1">
      <alignment horizontal="center" vertical="center"/>
      <protection locked="0" hidden="1"/>
    </xf>
    <xf numFmtId="0" fontId="48" fillId="31" borderId="20" xfId="106" applyFont="1" applyBorder="1" applyAlignment="1" applyProtection="1">
      <alignment horizontal="center" wrapText="1"/>
      <protection locked="0" hidden="1"/>
    </xf>
    <xf numFmtId="0" fontId="48" fillId="31" borderId="19" xfId="106" applyFont="1" applyBorder="1" applyAlignment="1" applyProtection="1">
      <alignment horizontal="center" wrapText="1"/>
      <protection locked="0" hidden="1"/>
    </xf>
    <xf numFmtId="2" fontId="48" fillId="0" borderId="13" xfId="0" applyNumberFormat="1" applyFont="1" applyBorder="1" applyAlignment="1" applyProtection="1">
      <alignment horizontal="center"/>
      <protection locked="0" hidden="1"/>
    </xf>
    <xf numFmtId="167" fontId="48" fillId="0" borderId="28" xfId="30" applyFont="1" applyFill="1" applyBorder="1" applyAlignment="1" applyProtection="1">
      <protection locked="0" hidden="1"/>
    </xf>
    <xf numFmtId="2" fontId="48" fillId="0" borderId="29" xfId="0" applyNumberFormat="1" applyFont="1" applyBorder="1" applyAlignment="1" applyProtection="1">
      <alignment horizontal="center"/>
      <protection locked="0" hidden="1"/>
    </xf>
    <xf numFmtId="4" fontId="48" fillId="2" borderId="0" xfId="0" applyNumberFormat="1" applyFont="1" applyFill="1" applyProtection="1">
      <protection locked="0" hidden="1"/>
    </xf>
    <xf numFmtId="43" fontId="48" fillId="2" borderId="0" xfId="0" applyNumberFormat="1" applyFont="1" applyFill="1" applyProtection="1">
      <protection locked="0" hidden="1"/>
    </xf>
    <xf numFmtId="2" fontId="48" fillId="30" borderId="32" xfId="105" applyNumberFormat="1" applyFont="1" applyBorder="1" applyAlignment="1" applyProtection="1">
      <alignment horizontal="center"/>
      <protection locked="0" hidden="1"/>
    </xf>
    <xf numFmtId="167" fontId="48" fillId="30" borderId="33" xfId="105" applyNumberFormat="1" applyFont="1" applyBorder="1" applyAlignment="1" applyProtection="1">
      <protection locked="0" hidden="1"/>
    </xf>
    <xf numFmtId="0" fontId="48" fillId="29" borderId="35" xfId="105" applyFont="1" applyFill="1" applyBorder="1" applyProtection="1">
      <protection locked="0" hidden="1"/>
    </xf>
    <xf numFmtId="44" fontId="48" fillId="29" borderId="36" xfId="105" applyNumberFormat="1" applyFont="1" applyFill="1" applyBorder="1" applyProtection="1">
      <protection locked="0" hidden="1"/>
    </xf>
    <xf numFmtId="0" fontId="48" fillId="29" borderId="0" xfId="105" applyFont="1" applyFill="1" applyBorder="1" applyProtection="1">
      <protection locked="0" hidden="1"/>
    </xf>
    <xf numFmtId="167" fontId="48" fillId="29" borderId="28" xfId="105" applyNumberFormat="1" applyFont="1" applyFill="1" applyBorder="1" applyProtection="1">
      <protection locked="0" hidden="1"/>
    </xf>
    <xf numFmtId="0" fontId="35" fillId="35" borderId="31" xfId="39" applyFont="1" applyFill="1" applyBorder="1" applyProtection="1">
      <protection locked="0" hidden="1"/>
    </xf>
    <xf numFmtId="44" fontId="35" fillId="35" borderId="33" xfId="39" applyNumberFormat="1" applyFont="1" applyFill="1" applyBorder="1" applyProtection="1">
      <protection locked="0" hidden="1"/>
    </xf>
    <xf numFmtId="43" fontId="48" fillId="2" borderId="20" xfId="0" applyNumberFormat="1" applyFont="1" applyFill="1" applyBorder="1" applyProtection="1">
      <protection locked="0" hidden="1"/>
    </xf>
    <xf numFmtId="43" fontId="48" fillId="2" borderId="18" xfId="0" applyNumberFormat="1" applyFont="1" applyFill="1" applyBorder="1" applyProtection="1">
      <protection locked="0" hidden="1"/>
    </xf>
    <xf numFmtId="44" fontId="35" fillId="32" borderId="0" xfId="0" applyNumberFormat="1" applyFont="1" applyFill="1" applyAlignment="1" applyProtection="1">
      <alignment horizontal="center" vertical="center"/>
      <protection locked="0" hidden="1"/>
    </xf>
    <xf numFmtId="44" fontId="35" fillId="32" borderId="3" xfId="0" applyNumberFormat="1" applyFont="1" applyFill="1" applyBorder="1" applyAlignment="1" applyProtection="1">
      <alignment horizontal="center" vertical="center"/>
      <protection locked="0" hidden="1"/>
    </xf>
    <xf numFmtId="0" fontId="35" fillId="32" borderId="0" xfId="0" applyFont="1" applyFill="1" applyAlignment="1" applyProtection="1">
      <alignment horizontal="center" vertical="center"/>
      <protection locked="0" hidden="1"/>
    </xf>
    <xf numFmtId="0" fontId="35" fillId="32" borderId="3" xfId="0" applyFont="1" applyFill="1" applyBorder="1" applyAlignment="1" applyProtection="1">
      <alignment horizontal="center" vertical="center"/>
      <protection locked="0" hidden="1"/>
    </xf>
    <xf numFmtId="0" fontId="35" fillId="32" borderId="45" xfId="0" applyFont="1" applyFill="1" applyBorder="1" applyAlignment="1" applyProtection="1">
      <alignment horizontal="center" vertical="center"/>
      <protection locked="0" hidden="1"/>
    </xf>
    <xf numFmtId="0" fontId="35" fillId="32" borderId="57" xfId="0" applyFont="1" applyFill="1" applyBorder="1" applyAlignment="1" applyProtection="1">
      <alignment horizontal="center" vertical="center"/>
      <protection locked="0" hidden="1"/>
    </xf>
    <xf numFmtId="0" fontId="48" fillId="28" borderId="0" xfId="0" applyFont="1" applyFill="1" applyProtection="1">
      <protection locked="0" hidden="1"/>
    </xf>
    <xf numFmtId="44" fontId="48" fillId="28" borderId="0" xfId="0" applyNumberFormat="1" applyFont="1" applyFill="1" applyProtection="1">
      <protection locked="0" hidden="1"/>
    </xf>
    <xf numFmtId="0" fontId="48" fillId="28" borderId="3" xfId="0" applyFont="1" applyFill="1" applyBorder="1" applyProtection="1">
      <protection locked="0" hidden="1"/>
    </xf>
    <xf numFmtId="44" fontId="48" fillId="28" borderId="0" xfId="0" applyNumberFormat="1" applyFont="1" applyFill="1" applyAlignment="1" applyProtection="1">
      <alignment horizontal="center" vertical="center"/>
      <protection locked="0" hidden="1"/>
    </xf>
    <xf numFmtId="0" fontId="48" fillId="28" borderId="3" xfId="0" applyFont="1" applyFill="1" applyBorder="1" applyAlignment="1" applyProtection="1">
      <alignment horizontal="center" vertical="center"/>
      <protection locked="0" hidden="1"/>
    </xf>
    <xf numFmtId="44" fontId="35" fillId="7" borderId="0" xfId="0" applyNumberFormat="1" applyFont="1" applyFill="1" applyAlignment="1" applyProtection="1">
      <alignment horizontal="center" vertical="center"/>
      <protection locked="0" hidden="1"/>
    </xf>
    <xf numFmtId="0" fontId="48" fillId="32" borderId="22" xfId="104" applyFont="1" applyFill="1" applyBorder="1" applyAlignment="1" applyProtection="1">
      <alignment horizontal="center" vertical="center"/>
      <protection locked="0" hidden="1"/>
    </xf>
    <xf numFmtId="9" fontId="48" fillId="0" borderId="0" xfId="7" applyFont="1" applyAlignment="1" applyProtection="1">
      <alignment horizontal="center"/>
      <protection locked="0" hidden="1"/>
    </xf>
    <xf numFmtId="0" fontId="48" fillId="0" borderId="0" xfId="105" applyFont="1" applyFill="1" applyBorder="1" applyAlignment="1" applyProtection="1">
      <alignment wrapText="1"/>
      <protection locked="0" hidden="1"/>
    </xf>
    <xf numFmtId="167" fontId="48" fillId="0" borderId="0" xfId="105" applyNumberFormat="1" applyFont="1" applyFill="1" applyBorder="1" applyAlignment="1" applyProtection="1">
      <alignment horizontal="right"/>
      <protection locked="0" hidden="1"/>
    </xf>
    <xf numFmtId="44" fontId="48" fillId="0" borderId="0" xfId="105" applyNumberFormat="1" applyFont="1" applyFill="1" applyBorder="1" applyAlignment="1" applyProtection="1">
      <protection locked="0" hidden="1"/>
    </xf>
    <xf numFmtId="0" fontId="35" fillId="32" borderId="48" xfId="106" applyFont="1" applyFill="1" applyBorder="1" applyAlignment="1" applyProtection="1">
      <alignment horizontal="center" wrapText="1"/>
      <protection locked="0" hidden="1"/>
    </xf>
    <xf numFmtId="0" fontId="41" fillId="2" borderId="45" xfId="0" applyFont="1" applyFill="1" applyBorder="1" applyAlignment="1" applyProtection="1">
      <alignment horizontal="center" vertical="center"/>
      <protection locked="0" hidden="1"/>
    </xf>
    <xf numFmtId="44" fontId="41" fillId="2" borderId="0" xfId="0" applyNumberFormat="1" applyFont="1" applyFill="1" applyAlignment="1" applyProtection="1">
      <alignment horizontal="center" vertical="center"/>
      <protection locked="0" hidden="1"/>
    </xf>
    <xf numFmtId="0" fontId="48" fillId="32" borderId="48" xfId="106" applyFont="1" applyFill="1" applyBorder="1" applyAlignment="1" applyProtection="1">
      <alignment horizontal="center" wrapText="1"/>
      <protection locked="0" hidden="1"/>
    </xf>
    <xf numFmtId="0" fontId="48" fillId="0" borderId="22" xfId="106" applyFont="1" applyFill="1" applyBorder="1" applyAlignment="1" applyProtection="1">
      <alignment horizontal="center" wrapText="1"/>
      <protection locked="0" hidden="1"/>
    </xf>
    <xf numFmtId="0" fontId="48" fillId="32" borderId="0" xfId="104" applyFont="1" applyFill="1" applyBorder="1" applyAlignment="1" applyProtection="1">
      <alignment horizontal="center" vertical="center"/>
      <protection locked="0" hidden="1"/>
    </xf>
    <xf numFmtId="44" fontId="48" fillId="28" borderId="3" xfId="0" applyNumberFormat="1" applyFont="1" applyFill="1" applyBorder="1" applyProtection="1">
      <protection locked="0" hidden="1"/>
    </xf>
    <xf numFmtId="167" fontId="48" fillId="28" borderId="3" xfId="0" applyNumberFormat="1" applyFont="1" applyFill="1" applyBorder="1" applyProtection="1">
      <protection locked="0" hidden="1"/>
    </xf>
    <xf numFmtId="167" fontId="48" fillId="0" borderId="0" xfId="0" applyNumberFormat="1" applyFont="1" applyProtection="1">
      <protection locked="0" hidden="1"/>
    </xf>
    <xf numFmtId="0" fontId="48" fillId="33" borderId="35" xfId="105" applyFont="1" applyFill="1" applyBorder="1" applyProtection="1">
      <protection locked="0" hidden="1"/>
    </xf>
    <xf numFmtId="44" fontId="48" fillId="33" borderId="36" xfId="105" applyNumberFormat="1" applyFont="1" applyFill="1" applyBorder="1" applyProtection="1">
      <protection locked="0" hidden="1"/>
    </xf>
    <xf numFmtId="0" fontId="48" fillId="33" borderId="0" xfId="105" applyFont="1" applyFill="1" applyBorder="1" applyProtection="1">
      <protection locked="0" hidden="1"/>
    </xf>
    <xf numFmtId="167" fontId="48" fillId="33" borderId="28" xfId="105" applyNumberFormat="1" applyFont="1" applyFill="1" applyBorder="1" applyProtection="1">
      <protection locked="0" hidden="1"/>
    </xf>
    <xf numFmtId="0" fontId="35" fillId="34" borderId="20" xfId="39" applyFont="1" applyFill="1" applyBorder="1" applyProtection="1">
      <protection locked="0" hidden="1"/>
    </xf>
    <xf numFmtId="44" fontId="35" fillId="34" borderId="68" xfId="39" applyNumberFormat="1" applyFont="1" applyFill="1" applyBorder="1" applyProtection="1">
      <protection locked="0" hidden="1"/>
    </xf>
    <xf numFmtId="0" fontId="48" fillId="7" borderId="46" xfId="0" applyFont="1" applyFill="1" applyBorder="1" applyAlignment="1" applyProtection="1">
      <alignment wrapText="1"/>
      <protection locked="0" hidden="1"/>
    </xf>
    <xf numFmtId="167" fontId="35" fillId="7" borderId="0" xfId="29" applyFont="1" applyFill="1" applyBorder="1" applyAlignment="1" applyProtection="1">
      <alignment horizontal="right"/>
      <protection locked="0" hidden="1"/>
    </xf>
    <xf numFmtId="44" fontId="35" fillId="7" borderId="0" xfId="29" applyNumberFormat="1" applyFont="1" applyFill="1" applyBorder="1" applyAlignment="1" applyProtection="1">
      <protection locked="0" hidden="1"/>
    </xf>
    <xf numFmtId="0" fontId="48" fillId="7" borderId="50" xfId="0" applyFont="1" applyFill="1" applyBorder="1" applyAlignment="1" applyProtection="1">
      <alignment wrapText="1"/>
      <protection locked="0" hidden="1"/>
    </xf>
    <xf numFmtId="0" fontId="48" fillId="7" borderId="52" xfId="0" applyFont="1" applyFill="1" applyBorder="1" applyAlignment="1" applyProtection="1">
      <alignment wrapText="1"/>
      <protection locked="0" hidden="1"/>
    </xf>
    <xf numFmtId="167" fontId="35" fillId="7" borderId="20" xfId="29" applyFont="1" applyFill="1" applyBorder="1" applyAlignment="1" applyProtection="1">
      <alignment horizontal="right"/>
      <protection locked="0" hidden="1"/>
    </xf>
    <xf numFmtId="44" fontId="35" fillId="7" borderId="20" xfId="29" applyNumberFormat="1" applyFont="1" applyFill="1" applyBorder="1" applyAlignment="1" applyProtection="1">
      <protection locked="0" hidden="1"/>
    </xf>
    <xf numFmtId="0" fontId="48" fillId="7" borderId="53" xfId="0" applyFont="1" applyFill="1" applyBorder="1" applyAlignment="1" applyProtection="1">
      <alignment wrapText="1"/>
      <protection locked="0" hidden="1"/>
    </xf>
    <xf numFmtId="0" fontId="35" fillId="32" borderId="22" xfId="0" applyFont="1" applyFill="1" applyBorder="1" applyAlignment="1" applyProtection="1">
      <alignment horizontal="center" wrapText="1"/>
      <protection locked="0" hidden="1"/>
    </xf>
    <xf numFmtId="0" fontId="35" fillId="32" borderId="5" xfId="0" applyFont="1" applyFill="1" applyBorder="1" applyAlignment="1" applyProtection="1">
      <alignment horizontal="center" wrapText="1"/>
      <protection locked="0" hidden="1"/>
    </xf>
    <xf numFmtId="167" fontId="35" fillId="2" borderId="3" xfId="29" applyFont="1" applyFill="1" applyBorder="1" applyAlignment="1" applyProtection="1">
      <protection locked="0" hidden="1"/>
    </xf>
    <xf numFmtId="44" fontId="48" fillId="7" borderId="53" xfId="0" applyNumberFormat="1" applyFont="1" applyFill="1" applyBorder="1" applyAlignment="1" applyProtection="1">
      <alignment wrapText="1"/>
      <protection locked="0" hidden="1"/>
    </xf>
    <xf numFmtId="0" fontId="35" fillId="7" borderId="25" xfId="0" applyFont="1" applyFill="1" applyBorder="1" applyAlignment="1" applyProtection="1">
      <alignment horizontal="center" vertical="center"/>
      <protection locked="0" hidden="1"/>
    </xf>
    <xf numFmtId="44" fontId="35" fillId="7" borderId="25" xfId="0" applyNumberFormat="1" applyFont="1" applyFill="1" applyBorder="1" applyAlignment="1" applyProtection="1">
      <alignment horizontal="center" vertical="center"/>
      <protection locked="0" hidden="1"/>
    </xf>
    <xf numFmtId="0" fontId="35" fillId="7" borderId="26" xfId="0" applyFont="1" applyFill="1" applyBorder="1" applyAlignment="1" applyProtection="1">
      <alignment horizontal="center" vertical="center"/>
      <protection locked="0" hidden="1"/>
    </xf>
    <xf numFmtId="0" fontId="35" fillId="0" borderId="0" xfId="0" applyFont="1" applyProtection="1">
      <protection locked="0" hidden="1"/>
    </xf>
    <xf numFmtId="0" fontId="35" fillId="0" borderId="3" xfId="0" applyFont="1" applyBorder="1" applyProtection="1">
      <protection locked="0" hidden="1"/>
    </xf>
    <xf numFmtId="0" fontId="35" fillId="32" borderId="25" xfId="0" applyFont="1" applyFill="1" applyBorder="1" applyAlignment="1" applyProtection="1">
      <alignment horizontal="center" vertical="center"/>
      <protection locked="0" hidden="1"/>
    </xf>
    <xf numFmtId="0" fontId="35" fillId="32" borderId="26" xfId="0" applyFont="1" applyFill="1" applyBorder="1" applyAlignment="1" applyProtection="1">
      <alignment horizontal="center" vertical="center"/>
      <protection locked="0" hidden="1"/>
    </xf>
    <xf numFmtId="0" fontId="35" fillId="28" borderId="22" xfId="0" applyFont="1" applyFill="1" applyBorder="1" applyAlignment="1" applyProtection="1">
      <alignment horizontal="center" wrapText="1"/>
      <protection locked="0" hidden="1"/>
    </xf>
    <xf numFmtId="0" fontId="35" fillId="28" borderId="5" xfId="0" applyFont="1" applyFill="1" applyBorder="1" applyAlignment="1" applyProtection="1">
      <alignment horizontal="center" wrapText="1"/>
      <protection locked="0" hidden="1"/>
    </xf>
    <xf numFmtId="9" fontId="48" fillId="0" borderId="0" xfId="7" applyFont="1" applyFill="1" applyBorder="1" applyAlignment="1" applyProtection="1">
      <alignment horizontal="center"/>
      <protection locked="0" hidden="1"/>
    </xf>
    <xf numFmtId="167" fontId="48" fillId="2" borderId="0" xfId="29" applyFont="1" applyFill="1" applyBorder="1" applyAlignment="1" applyProtection="1">
      <alignment horizontal="right"/>
      <protection locked="0" hidden="1"/>
    </xf>
    <xf numFmtId="0" fontId="48" fillId="7" borderId="20" xfId="0" applyFont="1" applyFill="1" applyBorder="1" applyAlignment="1" applyProtection="1">
      <alignment wrapText="1"/>
      <protection locked="0" hidden="1"/>
    </xf>
    <xf numFmtId="0" fontId="48" fillId="7" borderId="18" xfId="0" applyFont="1" applyFill="1" applyBorder="1" applyAlignment="1" applyProtection="1">
      <alignment wrapText="1"/>
      <protection locked="0" hidden="1"/>
    </xf>
    <xf numFmtId="0" fontId="48" fillId="2" borderId="0" xfId="0" applyFont="1" applyFill="1" applyAlignment="1" applyProtection="1">
      <alignment horizontal="center" wrapText="1"/>
      <protection locked="0" hidden="1"/>
    </xf>
    <xf numFmtId="0" fontId="35" fillId="7" borderId="0" xfId="0" applyFont="1" applyFill="1" applyAlignment="1" applyProtection="1">
      <alignment horizontal="center" vertical="center"/>
      <protection locked="0" hidden="1"/>
    </xf>
    <xf numFmtId="0" fontId="35" fillId="7" borderId="3" xfId="0" applyFont="1" applyFill="1" applyBorder="1" applyAlignment="1" applyProtection="1">
      <alignment horizontal="center" vertical="center"/>
      <protection locked="0" hidden="1"/>
    </xf>
    <xf numFmtId="0" fontId="35" fillId="28" borderId="48" xfId="0" applyFont="1" applyFill="1" applyBorder="1" applyAlignment="1" applyProtection="1">
      <alignment horizontal="center" wrapText="1"/>
      <protection locked="0" hidden="1"/>
    </xf>
    <xf numFmtId="0" fontId="35" fillId="28" borderId="49" xfId="0" applyFont="1" applyFill="1" applyBorder="1" applyAlignment="1" applyProtection="1">
      <alignment horizontal="center" wrapText="1"/>
      <protection locked="0" hidden="1"/>
    </xf>
    <xf numFmtId="44" fontId="35" fillId="7" borderId="3" xfId="0" applyNumberFormat="1" applyFont="1" applyFill="1" applyBorder="1" applyAlignment="1" applyProtection="1">
      <alignment horizontal="center" vertical="center"/>
      <protection locked="0" hidden="1"/>
    </xf>
    <xf numFmtId="44" fontId="35" fillId="7" borderId="20" xfId="0" applyNumberFormat="1" applyFont="1" applyFill="1" applyBorder="1" applyAlignment="1" applyProtection="1">
      <alignment horizontal="center" vertical="center"/>
      <protection locked="0" hidden="1"/>
    </xf>
    <xf numFmtId="44" fontId="3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35" fillId="32" borderId="22" xfId="0" applyFont="1" applyFill="1" applyBorder="1" applyAlignment="1" applyProtection="1">
      <alignment horizontal="center" vertical="center"/>
      <protection locked="0" hidden="1"/>
    </xf>
    <xf numFmtId="0" fontId="35" fillId="32" borderId="5" xfId="0" applyFont="1" applyFill="1" applyBorder="1" applyAlignment="1" applyProtection="1">
      <alignment horizontal="center" vertical="center"/>
      <protection locked="0" hidden="1"/>
    </xf>
    <xf numFmtId="0" fontId="48" fillId="2" borderId="22" xfId="0" applyFont="1" applyFill="1" applyBorder="1" applyAlignment="1" applyProtection="1">
      <alignment horizontal="center" vertical="center"/>
      <protection locked="0" hidden="1"/>
    </xf>
    <xf numFmtId="44" fontId="48" fillId="2" borderId="22" xfId="0" applyNumberFormat="1" applyFont="1" applyFill="1" applyBorder="1" applyAlignment="1" applyProtection="1">
      <alignment vertical="center"/>
      <protection locked="0" hidden="1"/>
    </xf>
    <xf numFmtId="0" fontId="35" fillId="7" borderId="45" xfId="0" applyFont="1" applyFill="1" applyBorder="1" applyAlignment="1" applyProtection="1">
      <alignment horizontal="center" vertical="center"/>
      <protection locked="0" hidden="1"/>
    </xf>
    <xf numFmtId="44" fontId="35" fillId="7" borderId="45" xfId="0" applyNumberFormat="1" applyFont="1" applyFill="1" applyBorder="1" applyAlignment="1" applyProtection="1">
      <alignment horizontal="center" vertical="center"/>
      <protection locked="0" hidden="1"/>
    </xf>
    <xf numFmtId="44" fontId="35" fillId="7" borderId="57" xfId="0" applyNumberFormat="1" applyFont="1" applyFill="1" applyBorder="1" applyAlignment="1" applyProtection="1">
      <alignment horizontal="center" vertical="center"/>
      <protection locked="0" hidden="1"/>
    </xf>
    <xf numFmtId="44" fontId="48" fillId="2" borderId="0" xfId="0" applyNumberFormat="1" applyFont="1" applyFill="1" applyAlignment="1" applyProtection="1">
      <alignment horizontal="center" vertical="center"/>
      <protection locked="0" hidden="1"/>
    </xf>
    <xf numFmtId="44" fontId="48" fillId="0" borderId="0" xfId="29" applyNumberFormat="1" applyFont="1" applyFill="1" applyBorder="1" applyAlignment="1" applyProtection="1">
      <alignment horizontal="center" vertical="center"/>
      <protection locked="0" hidden="1"/>
    </xf>
    <xf numFmtId="0" fontId="48" fillId="28" borderId="25" xfId="0" applyFont="1" applyFill="1" applyBorder="1" applyProtection="1">
      <protection locked="0" hidden="1"/>
    </xf>
    <xf numFmtId="44" fontId="48" fillId="28" borderId="25" xfId="0" applyNumberFormat="1" applyFont="1" applyFill="1" applyBorder="1" applyProtection="1">
      <protection locked="0" hidden="1"/>
    </xf>
    <xf numFmtId="44" fontId="35" fillId="28" borderId="25" xfId="29" applyNumberFormat="1" applyFont="1" applyFill="1" applyBorder="1" applyAlignment="1" applyProtection="1">
      <protection locked="0" hidden="1"/>
    </xf>
    <xf numFmtId="0" fontId="48" fillId="28" borderId="26" xfId="0" applyFont="1" applyFill="1" applyBorder="1" applyProtection="1">
      <protection locked="0" hidden="1"/>
    </xf>
    <xf numFmtId="0" fontId="48" fillId="7" borderId="0" xfId="0" applyFont="1" applyFill="1" applyAlignment="1" applyProtection="1">
      <alignment wrapText="1"/>
      <protection locked="0" hidden="1"/>
    </xf>
    <xf numFmtId="0" fontId="48" fillId="7" borderId="3" xfId="0" applyFont="1" applyFill="1" applyBorder="1" applyAlignment="1" applyProtection="1">
      <alignment wrapText="1"/>
      <protection locked="0" hidden="1"/>
    </xf>
    <xf numFmtId="0" fontId="48" fillId="0" borderId="0" xfId="0" applyFont="1" applyAlignment="1" applyProtection="1">
      <alignment wrapText="1"/>
      <protection locked="0" hidden="1"/>
    </xf>
    <xf numFmtId="44" fontId="35" fillId="0" borderId="0" xfId="29" applyNumberFormat="1" applyFont="1" applyFill="1" applyBorder="1" applyAlignment="1" applyProtection="1">
      <protection locked="0" hidden="1"/>
    </xf>
    <xf numFmtId="0" fontId="48" fillId="0" borderId="3" xfId="0" applyFont="1" applyBorder="1" applyAlignment="1" applyProtection="1">
      <alignment wrapText="1"/>
      <protection locked="0" hidden="1"/>
    </xf>
    <xf numFmtId="44" fontId="35" fillId="7" borderId="3" xfId="29" applyNumberFormat="1" applyFont="1" applyFill="1" applyBorder="1" applyAlignment="1" applyProtection="1">
      <protection locked="0" hidden="1"/>
    </xf>
    <xf numFmtId="0" fontId="35" fillId="28" borderId="0" xfId="0" applyFont="1" applyFill="1" applyAlignment="1" applyProtection="1">
      <alignment horizontal="center" wrapText="1"/>
      <protection locked="0" hidden="1"/>
    </xf>
    <xf numFmtId="0" fontId="35" fillId="28" borderId="3" xfId="0" applyFont="1" applyFill="1" applyBorder="1" applyAlignment="1" applyProtection="1">
      <alignment horizontal="center" wrapText="1"/>
      <protection locked="0" hidden="1"/>
    </xf>
    <xf numFmtId="0" fontId="35" fillId="7" borderId="20" xfId="0" applyFont="1" applyFill="1" applyBorder="1" applyAlignment="1" applyProtection="1">
      <alignment horizontal="center" vertical="center"/>
      <protection locked="0" hidden="1"/>
    </xf>
    <xf numFmtId="0" fontId="35" fillId="28" borderId="25" xfId="0" applyFont="1" applyFill="1" applyBorder="1" applyAlignment="1" applyProtection="1">
      <alignment horizontal="center" wrapText="1"/>
      <protection locked="0" hidden="1"/>
    </xf>
    <xf numFmtId="44" fontId="35" fillId="28" borderId="25" xfId="0" applyNumberFormat="1" applyFont="1" applyFill="1" applyBorder="1" applyAlignment="1" applyProtection="1">
      <alignment horizontal="center" wrapText="1"/>
      <protection locked="0" hidden="1"/>
    </xf>
    <xf numFmtId="0" fontId="35" fillId="28" borderId="26" xfId="0" applyFont="1" applyFill="1" applyBorder="1" applyAlignment="1" applyProtection="1">
      <alignment horizontal="center" wrapText="1"/>
      <protection locked="0" hidden="1"/>
    </xf>
    <xf numFmtId="0" fontId="35" fillId="28" borderId="4" xfId="0" applyFont="1" applyFill="1" applyBorder="1" applyAlignment="1" applyProtection="1">
      <alignment horizontal="center" wrapText="1"/>
      <protection locked="0" hidden="1"/>
    </xf>
    <xf numFmtId="167" fontId="48" fillId="0" borderId="3" xfId="30" applyFont="1" applyFill="1" applyBorder="1" applyAlignment="1" applyProtection="1">
      <protection locked="0" hidden="1"/>
    </xf>
    <xf numFmtId="2" fontId="48" fillId="7" borderId="9" xfId="0" applyNumberFormat="1" applyFont="1" applyFill="1" applyBorder="1" applyAlignment="1" applyProtection="1">
      <alignment horizontal="center"/>
      <protection locked="0" hidden="1"/>
    </xf>
    <xf numFmtId="167" fontId="48" fillId="7" borderId="18" xfId="30" applyFont="1" applyFill="1" applyBorder="1" applyAlignment="1" applyProtection="1">
      <protection locked="0" hidden="1"/>
    </xf>
    <xf numFmtId="0" fontId="35" fillId="32" borderId="35" xfId="0" applyFont="1" applyFill="1" applyBorder="1" applyProtection="1">
      <protection locked="0" hidden="1"/>
    </xf>
    <xf numFmtId="44" fontId="35" fillId="32" borderId="36" xfId="0" applyNumberFormat="1" applyFont="1" applyFill="1" applyBorder="1" applyProtection="1">
      <protection locked="0" hidden="1"/>
    </xf>
    <xf numFmtId="0" fontId="35" fillId="32" borderId="0" xfId="0" applyFont="1" applyFill="1" applyProtection="1">
      <protection locked="0" hidden="1"/>
    </xf>
    <xf numFmtId="167" fontId="35" fillId="32" borderId="28" xfId="0" applyNumberFormat="1" applyFont="1" applyFill="1" applyBorder="1" applyProtection="1">
      <protection locked="0" hidden="1"/>
    </xf>
    <xf numFmtId="167" fontId="35" fillId="0" borderId="42" xfId="30" applyFont="1" applyFill="1" applyBorder="1" applyAlignment="1" applyProtection="1">
      <alignment horizontal="center"/>
      <protection locked="0" hidden="1"/>
    </xf>
    <xf numFmtId="167" fontId="35" fillId="0" borderId="69" xfId="30" applyFont="1" applyFill="1" applyBorder="1" applyAlignment="1" applyProtection="1">
      <alignment horizontal="center"/>
      <protection locked="0" hidden="1"/>
    </xf>
    <xf numFmtId="0" fontId="35" fillId="32" borderId="20" xfId="0" applyFont="1" applyFill="1" applyBorder="1" applyProtection="1">
      <protection locked="0" hidden="1"/>
    </xf>
    <xf numFmtId="44" fontId="35" fillId="32" borderId="68" xfId="0" applyNumberFormat="1" applyFont="1" applyFill="1" applyBorder="1" applyProtection="1">
      <protection locked="0" hidden="1"/>
    </xf>
    <xf numFmtId="167" fontId="48" fillId="2" borderId="20" xfId="29" applyFont="1" applyFill="1" applyBorder="1" applyProtection="1">
      <protection locked="0" hidden="1"/>
    </xf>
    <xf numFmtId="176" fontId="48" fillId="2" borderId="0" xfId="0" applyNumberFormat="1" applyFont="1" applyFill="1" applyAlignment="1" applyProtection="1">
      <alignment horizontal="center" vertical="center"/>
      <protection locked="0" hidden="1"/>
    </xf>
    <xf numFmtId="44" fontId="35" fillId="0" borderId="3" xfId="29" applyNumberFormat="1" applyFont="1" applyFill="1" applyBorder="1" applyAlignment="1" applyProtection="1">
      <protection locked="0" hidden="1"/>
    </xf>
    <xf numFmtId="44" fontId="35" fillId="0" borderId="0" xfId="0" applyNumberFormat="1" applyFont="1" applyAlignment="1" applyProtection="1">
      <alignment horizontal="center" vertical="center"/>
      <protection locked="0" hidden="1"/>
    </xf>
    <xf numFmtId="44" fontId="35" fillId="0" borderId="3" xfId="0" applyNumberFormat="1" applyFont="1" applyBorder="1" applyAlignment="1" applyProtection="1">
      <alignment horizontal="center" vertical="center"/>
      <protection locked="0" hidden="1"/>
    </xf>
    <xf numFmtId="3" fontId="48" fillId="0" borderId="0" xfId="0" applyNumberFormat="1" applyFont="1" applyAlignment="1" applyProtection="1">
      <alignment horizontal="center"/>
      <protection locked="0" hidden="1"/>
    </xf>
    <xf numFmtId="0" fontId="35" fillId="0" borderId="45" xfId="0" applyFont="1" applyBorder="1" applyAlignment="1" applyProtection="1">
      <alignment horizontal="center" vertical="center"/>
      <protection locked="0" hidden="1"/>
    </xf>
    <xf numFmtId="0" fontId="35" fillId="0" borderId="57" xfId="0" applyFont="1" applyBorder="1" applyAlignment="1" applyProtection="1">
      <alignment horizontal="center" vertical="center"/>
      <protection locked="0" hidden="1"/>
    </xf>
    <xf numFmtId="0" fontId="35" fillId="7" borderId="0" xfId="0" applyFont="1" applyFill="1" applyProtection="1">
      <protection locked="0" hidden="1"/>
    </xf>
    <xf numFmtId="0" fontId="35" fillId="7" borderId="3" xfId="0" applyFont="1" applyFill="1" applyBorder="1" applyProtection="1">
      <protection locked="0" hidden="1"/>
    </xf>
    <xf numFmtId="0" fontId="48" fillId="7" borderId="54" xfId="0" applyFont="1" applyFill="1" applyBorder="1" applyAlignment="1" applyProtection="1">
      <alignment wrapText="1"/>
      <protection locked="0" hidden="1"/>
    </xf>
    <xf numFmtId="0" fontId="48" fillId="7" borderId="55" xfId="0" applyFont="1" applyFill="1" applyBorder="1" applyAlignment="1" applyProtection="1">
      <alignment wrapText="1"/>
      <protection locked="0" hidden="1"/>
    </xf>
    <xf numFmtId="0" fontId="48" fillId="2" borderId="20" xfId="0" applyFont="1" applyFill="1" applyBorder="1" applyAlignment="1" applyProtection="1">
      <alignment horizontal="center" vertical="center"/>
      <protection locked="0" hidden="1"/>
    </xf>
    <xf numFmtId="44" fontId="48" fillId="2" borderId="20" xfId="0" applyNumberFormat="1" applyFont="1" applyFill="1" applyBorder="1" applyAlignment="1" applyProtection="1">
      <alignment vertical="center"/>
      <protection locked="0" hidden="1"/>
    </xf>
    <xf numFmtId="167" fontId="48" fillId="0" borderId="18" xfId="29" applyFont="1" applyFill="1" applyBorder="1" applyAlignment="1" applyProtection="1">
      <protection locked="0" hidden="1"/>
    </xf>
    <xf numFmtId="177" fontId="48" fillId="0" borderId="0" xfId="0" applyNumberFormat="1" applyFont="1" applyAlignment="1" applyProtection="1">
      <alignment horizontal="center"/>
      <protection locked="0" hidden="1"/>
    </xf>
    <xf numFmtId="0" fontId="35" fillId="28" borderId="20" xfId="0" applyFont="1" applyFill="1" applyBorder="1" applyAlignment="1" applyProtection="1">
      <alignment horizontal="center" vertical="center"/>
      <protection locked="0" hidden="1"/>
    </xf>
    <xf numFmtId="44" fontId="35" fillId="28" borderId="20" xfId="0" applyNumberFormat="1" applyFont="1" applyFill="1" applyBorder="1" applyAlignment="1" applyProtection="1">
      <alignment horizontal="center" vertical="center"/>
      <protection locked="0" hidden="1"/>
    </xf>
    <xf numFmtId="44" fontId="35" fillId="28" borderId="18" xfId="0" applyNumberFormat="1" applyFont="1" applyFill="1" applyBorder="1" applyAlignment="1" applyProtection="1">
      <alignment horizontal="center" vertical="center"/>
      <protection locked="0" hidden="1"/>
    </xf>
    <xf numFmtId="0" fontId="35" fillId="32" borderId="31" xfId="0" applyFont="1" applyFill="1" applyBorder="1" applyProtection="1">
      <protection locked="0" hidden="1"/>
    </xf>
    <xf numFmtId="44" fontId="35" fillId="32" borderId="33" xfId="0" applyNumberFormat="1" applyFont="1" applyFill="1" applyBorder="1" applyProtection="1">
      <protection locked="0" hidden="1"/>
    </xf>
    <xf numFmtId="167" fontId="48" fillId="2" borderId="0" xfId="29" applyFont="1" applyFill="1" applyBorder="1" applyProtection="1">
      <protection locked="0" hidden="1"/>
    </xf>
    <xf numFmtId="44" fontId="2" fillId="0" borderId="0" xfId="0" applyNumberFormat="1" applyFont="1" applyAlignment="1" applyProtection="1">
      <alignment horizontal="center"/>
      <protection locked="0" hidden="1"/>
    </xf>
    <xf numFmtId="44" fontId="2" fillId="0" borderId="3" xfId="0" applyNumberFormat="1" applyFont="1" applyBorder="1" applyAlignment="1" applyProtection="1">
      <alignment horizontal="center" vertical="center"/>
      <protection locked="0" hidden="1"/>
    </xf>
    <xf numFmtId="44" fontId="2" fillId="0" borderId="0" xfId="0" applyNumberFormat="1" applyFont="1" applyProtection="1">
      <protection locked="0" hidden="1"/>
    </xf>
    <xf numFmtId="44" fontId="2" fillId="0" borderId="3" xfId="0" applyNumberFormat="1" applyFont="1" applyBorder="1" applyProtection="1">
      <protection locked="0" hidden="1"/>
    </xf>
    <xf numFmtId="0" fontId="35" fillId="28" borderId="43" xfId="104" applyFont="1" applyFill="1" applyBorder="1" applyAlignment="1" applyProtection="1">
      <alignment horizontal="center" vertical="center"/>
      <protection locked="0"/>
    </xf>
    <xf numFmtId="0" fontId="48" fillId="28" borderId="88" xfId="106" applyFont="1" applyFill="1" applyBorder="1" applyAlignment="1" applyProtection="1">
      <alignment horizontal="center" vertical="center"/>
      <protection locked="0"/>
    </xf>
    <xf numFmtId="0" fontId="48" fillId="28" borderId="23" xfId="106" applyFont="1" applyFill="1" applyBorder="1" applyAlignment="1" applyProtection="1">
      <alignment horizontal="center" vertical="center"/>
      <protection locked="0"/>
    </xf>
    <xf numFmtId="0" fontId="48" fillId="28" borderId="23" xfId="106" applyFont="1" applyFill="1" applyBorder="1" applyAlignment="1" applyProtection="1">
      <alignment horizontal="center" vertical="center" wrapText="1"/>
      <protection locked="0"/>
    </xf>
    <xf numFmtId="0" fontId="48" fillId="28" borderId="12" xfId="106" applyFont="1" applyFill="1" applyBorder="1" applyAlignment="1" applyProtection="1">
      <alignment horizontal="center" vertical="center" wrapText="1"/>
      <protection locked="0"/>
    </xf>
    <xf numFmtId="0" fontId="48" fillId="28" borderId="88" xfId="104" applyFont="1" applyFill="1" applyBorder="1" applyAlignment="1" applyProtection="1">
      <alignment horizontal="left" vertical="center"/>
      <protection locked="0"/>
    </xf>
    <xf numFmtId="0" fontId="48" fillId="28" borderId="43" xfId="104" applyFont="1" applyFill="1" applyBorder="1" applyAlignment="1" applyProtection="1">
      <alignment horizontal="left" vertical="center"/>
      <protection locked="0"/>
    </xf>
    <xf numFmtId="0" fontId="48" fillId="28" borderId="69" xfId="104" applyFont="1" applyFill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 hidden="1"/>
    </xf>
    <xf numFmtId="0" fontId="2" fillId="0" borderId="2" xfId="0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52" fillId="27" borderId="38" xfId="105" applyFont="1" applyFill="1" applyBorder="1" applyAlignment="1" applyProtection="1">
      <alignment horizontal="right"/>
      <protection locked="0"/>
    </xf>
    <xf numFmtId="0" fontId="52" fillId="27" borderId="31" xfId="105" applyFont="1" applyFill="1" applyBorder="1" applyAlignment="1" applyProtection="1">
      <alignment horizontal="right"/>
      <protection locked="0"/>
    </xf>
    <xf numFmtId="0" fontId="52" fillId="27" borderId="31" xfId="105" applyFont="1" applyFill="1" applyBorder="1" applyAlignment="1" applyProtection="1">
      <protection locked="0"/>
    </xf>
    <xf numFmtId="44" fontId="52" fillId="27" borderId="96" xfId="105" applyNumberFormat="1" applyFont="1" applyFill="1" applyBorder="1" applyAlignment="1" applyProtection="1">
      <alignment horizontal="center" vertical="center"/>
      <protection locked="0"/>
    </xf>
    <xf numFmtId="0" fontId="48" fillId="29" borderId="82" xfId="104" applyFont="1" applyBorder="1" applyAlignment="1" applyProtection="1">
      <alignment horizontal="center" vertical="center" wrapText="1"/>
      <protection locked="0" hidden="1"/>
    </xf>
    <xf numFmtId="0" fontId="48" fillId="29" borderId="81" xfId="104" applyFont="1" applyBorder="1" applyAlignment="1" applyProtection="1">
      <alignment horizontal="left" vertical="center" wrapText="1"/>
      <protection locked="0" hidden="1"/>
    </xf>
    <xf numFmtId="178" fontId="48" fillId="32" borderId="4" xfId="104" applyNumberFormat="1" applyFont="1" applyFill="1" applyBorder="1" applyAlignment="1" applyProtection="1">
      <alignment horizontal="center" vertical="center" wrapText="1"/>
      <protection locked="0" hidden="1"/>
    </xf>
    <xf numFmtId="182" fontId="48" fillId="32" borderId="81" xfId="104" applyNumberFormat="1" applyFont="1" applyFill="1" applyBorder="1" applyAlignment="1" applyProtection="1">
      <alignment horizontal="center" vertical="center"/>
      <protection locked="0" hidden="1"/>
    </xf>
    <xf numFmtId="0" fontId="48" fillId="32" borderId="4" xfId="104" applyFont="1" applyFill="1" applyBorder="1" applyAlignment="1" applyProtection="1">
      <alignment horizontal="center"/>
      <protection locked="0" hidden="1"/>
    </xf>
    <xf numFmtId="0" fontId="48" fillId="32" borderId="14" xfId="104" applyFont="1" applyFill="1" applyBorder="1" applyAlignment="1" applyProtection="1">
      <alignment horizontal="center"/>
      <protection locked="0" hidden="1"/>
    </xf>
    <xf numFmtId="0" fontId="48" fillId="29" borderId="83" xfId="104" applyFont="1" applyBorder="1" applyAlignment="1" applyProtection="1">
      <alignment horizontal="center" vertical="center" wrapText="1"/>
      <protection locked="0" hidden="1"/>
    </xf>
    <xf numFmtId="0" fontId="48" fillId="29" borderId="79" xfId="104" applyFont="1" applyBorder="1" applyAlignment="1" applyProtection="1">
      <alignment horizontal="left" vertical="center" wrapText="1"/>
      <protection locked="0" hidden="1"/>
    </xf>
    <xf numFmtId="183" fontId="48" fillId="32" borderId="4" xfId="104" applyNumberFormat="1" applyFont="1" applyFill="1" applyBorder="1" applyAlignment="1" applyProtection="1">
      <alignment horizontal="center"/>
      <protection locked="0" hidden="1"/>
    </xf>
    <xf numFmtId="183" fontId="48" fillId="32" borderId="14" xfId="104" applyNumberFormat="1" applyFont="1" applyFill="1" applyBorder="1" applyAlignment="1" applyProtection="1">
      <alignment horizontal="center"/>
      <protection locked="0" hidden="1"/>
    </xf>
    <xf numFmtId="0" fontId="48" fillId="28" borderId="6" xfId="106" applyFont="1" applyFill="1" applyBorder="1" applyAlignment="1" applyProtection="1">
      <alignment horizontal="left" vertical="center"/>
      <protection locked="0" hidden="1"/>
    </xf>
    <xf numFmtId="0" fontId="48" fillId="28" borderId="4" xfId="106" applyFont="1" applyFill="1" applyBorder="1" applyAlignment="1" applyProtection="1">
      <alignment horizontal="left" vertical="center"/>
      <protection locked="0" hidden="1"/>
    </xf>
    <xf numFmtId="44" fontId="48" fillId="28" borderId="4" xfId="106" applyNumberFormat="1" applyFont="1" applyFill="1" applyBorder="1" applyAlignment="1" applyProtection="1">
      <alignment horizontal="left" vertical="center"/>
      <protection locked="0" hidden="1"/>
    </xf>
    <xf numFmtId="0" fontId="48" fillId="28" borderId="14" xfId="106" applyFont="1" applyFill="1" applyBorder="1" applyAlignment="1" applyProtection="1">
      <alignment horizontal="left" vertical="center"/>
      <protection locked="0" hidden="1"/>
    </xf>
    <xf numFmtId="0" fontId="2" fillId="0" borderId="6" xfId="0" applyFont="1" applyBorder="1" applyProtection="1">
      <protection locked="0" hidden="1"/>
    </xf>
    <xf numFmtId="0" fontId="2" fillId="0" borderId="4" xfId="0" applyFont="1" applyBorder="1" applyAlignment="1" applyProtection="1">
      <alignment horizontal="left" wrapText="1"/>
      <protection locked="0" hidden="1"/>
    </xf>
    <xf numFmtId="44" fontId="2" fillId="0" borderId="4" xfId="80" applyFont="1" applyFill="1" applyBorder="1" applyAlignment="1" applyProtection="1">
      <alignment horizontal="right" shrinkToFit="1"/>
      <protection locked="0" hidden="1"/>
    </xf>
    <xf numFmtId="182" fontId="2" fillId="0" borderId="79" xfId="78" applyNumberFormat="1" applyFill="1" applyBorder="1" applyAlignment="1" applyProtection="1">
      <alignment horizontal="center" vertical="center"/>
      <protection locked="0" hidden="1"/>
    </xf>
    <xf numFmtId="10" fontId="2" fillId="0" borderId="4" xfId="7" applyNumberFormat="1" applyBorder="1" applyAlignment="1" applyProtection="1">
      <alignment horizontal="center" vertical="center"/>
      <protection locked="0" hidden="1"/>
    </xf>
    <xf numFmtId="10" fontId="2" fillId="0" borderId="14" xfId="7" applyNumberFormat="1" applyBorder="1" applyAlignment="1" applyProtection="1">
      <alignment horizontal="center" vertical="center"/>
      <protection locked="0" hidden="1"/>
    </xf>
    <xf numFmtId="0" fontId="2" fillId="0" borderId="4" xfId="0" applyFont="1" applyBorder="1" applyAlignment="1" applyProtection="1">
      <alignment wrapText="1"/>
      <protection locked="0" hidden="1"/>
    </xf>
    <xf numFmtId="182" fontId="2" fillId="0" borderId="0" xfId="78" applyNumberFormat="1" applyFill="1" applyBorder="1" applyAlignment="1" applyProtection="1">
      <alignment horizontal="center" vertical="center"/>
      <protection locked="0" hidden="1"/>
    </xf>
    <xf numFmtId="182" fontId="2" fillId="0" borderId="94" xfId="78" applyNumberFormat="1" applyFill="1" applyBorder="1" applyAlignment="1" applyProtection="1">
      <alignment horizontal="center" vertical="center"/>
      <protection locked="0" hidden="1"/>
    </xf>
    <xf numFmtId="0" fontId="2" fillId="0" borderId="6" xfId="65" applyFont="1" applyBorder="1" applyProtection="1">
      <protection locked="0" hidden="1"/>
    </xf>
    <xf numFmtId="0" fontId="2" fillId="0" borderId="4" xfId="65" applyFont="1" applyBorder="1" applyProtection="1">
      <protection locked="0" hidden="1"/>
    </xf>
    <xf numFmtId="178" fontId="2" fillId="0" borderId="4" xfId="79" applyFill="1" applyBorder="1" applyAlignment="1" applyProtection="1">
      <alignment horizontal="right" shrinkToFit="1"/>
      <protection locked="0" hidden="1"/>
    </xf>
    <xf numFmtId="0" fontId="47" fillId="28" borderId="6" xfId="105" applyFont="1" applyFill="1" applyBorder="1" applyAlignment="1" applyProtection="1">
      <alignment vertical="top"/>
      <protection locked="0" hidden="1"/>
    </xf>
    <xf numFmtId="0" fontId="47" fillId="28" borderId="4" xfId="105" applyFont="1" applyFill="1" applyBorder="1" applyAlignment="1" applyProtection="1">
      <alignment vertical="top"/>
      <protection locked="0" hidden="1"/>
    </xf>
    <xf numFmtId="44" fontId="47" fillId="28" borderId="4" xfId="106" applyNumberFormat="1" applyFont="1" applyFill="1" applyBorder="1" applyAlignment="1" applyProtection="1">
      <alignment horizontal="left" vertical="center"/>
      <protection locked="0" hidden="1"/>
    </xf>
    <xf numFmtId="0" fontId="47" fillId="28" borderId="24" xfId="105" applyFont="1" applyFill="1" applyBorder="1" applyProtection="1">
      <protection locked="0" hidden="1"/>
    </xf>
    <xf numFmtId="8" fontId="47" fillId="28" borderId="4" xfId="105" applyNumberFormat="1" applyFont="1" applyFill="1" applyBorder="1" applyProtection="1">
      <protection locked="0" hidden="1"/>
    </xf>
    <xf numFmtId="8" fontId="47" fillId="28" borderId="14" xfId="105" applyNumberFormat="1" applyFont="1" applyFill="1" applyBorder="1" applyProtection="1">
      <protection locked="0" hidden="1"/>
    </xf>
    <xf numFmtId="0" fontId="40" fillId="0" borderId="37" xfId="65" applyFont="1" applyBorder="1" applyAlignment="1" applyProtection="1">
      <alignment vertical="top"/>
      <protection locked="0" hidden="1"/>
    </xf>
    <xf numFmtId="0" fontId="40" fillId="0" borderId="0" xfId="65" applyFont="1" applyAlignment="1" applyProtection="1">
      <alignment vertical="top"/>
      <protection locked="0" hidden="1"/>
    </xf>
    <xf numFmtId="0" fontId="40" fillId="0" borderId="27" xfId="65" applyFont="1" applyBorder="1" applyAlignment="1" applyProtection="1">
      <alignment vertical="top"/>
      <protection locked="0" hidden="1"/>
    </xf>
    <xf numFmtId="0" fontId="0" fillId="0" borderId="0" xfId="0" applyProtection="1">
      <protection locked="0" hidden="1"/>
    </xf>
    <xf numFmtId="0" fontId="0" fillId="0" borderId="4" xfId="0" applyBorder="1" applyProtection="1">
      <protection locked="0" hidden="1"/>
    </xf>
    <xf numFmtId="0" fontId="0" fillId="0" borderId="14" xfId="0" applyBorder="1" applyProtection="1">
      <protection locked="0" hidden="1"/>
    </xf>
    <xf numFmtId="0" fontId="39" fillId="0" borderId="37" xfId="65" applyFont="1" applyBorder="1" applyAlignment="1" applyProtection="1">
      <alignment horizontal="left"/>
      <protection locked="0" hidden="1"/>
    </xf>
    <xf numFmtId="0" fontId="38" fillId="0" borderId="0" xfId="65" applyFont="1" applyProtection="1">
      <protection locked="0" hidden="1"/>
    </xf>
    <xf numFmtId="44" fontId="1" fillId="28" borderId="4" xfId="105" applyNumberFormat="1" applyFill="1" applyBorder="1" applyAlignment="1" applyProtection="1">
      <alignment horizontal="center" vertical="center"/>
      <protection locked="0" hidden="1"/>
    </xf>
    <xf numFmtId="44" fontId="1" fillId="28" borderId="24" xfId="105" applyNumberFormat="1" applyFill="1" applyBorder="1" applyAlignment="1" applyProtection="1">
      <alignment horizontal="right"/>
      <protection locked="0" hidden="1"/>
    </xf>
    <xf numFmtId="10" fontId="1" fillId="28" borderId="4" xfId="105" applyNumberFormat="1" applyFill="1" applyBorder="1" applyAlignment="1" applyProtection="1">
      <alignment horizontal="center" vertical="center"/>
      <protection locked="0" hidden="1"/>
    </xf>
    <xf numFmtId="10" fontId="1" fillId="28" borderId="14" xfId="105" applyNumberFormat="1" applyFill="1" applyBorder="1" applyAlignment="1" applyProtection="1">
      <alignment horizontal="center" vertical="center"/>
      <protection locked="0" hidden="1"/>
    </xf>
    <xf numFmtId="8" fontId="1" fillId="28" borderId="4" xfId="105" applyNumberFormat="1" applyFill="1" applyBorder="1" applyProtection="1">
      <protection locked="0" hidden="1"/>
    </xf>
    <xf numFmtId="44" fontId="1" fillId="28" borderId="4" xfId="105" applyNumberFormat="1" applyFill="1" applyBorder="1" applyAlignment="1" applyProtection="1">
      <alignment shrinkToFit="1"/>
      <protection locked="0" hidden="1"/>
    </xf>
    <xf numFmtId="44" fontId="1" fillId="28" borderId="4" xfId="105" applyNumberFormat="1" applyFill="1" applyBorder="1" applyAlignment="1" applyProtection="1">
      <protection locked="0" hidden="1"/>
    </xf>
    <xf numFmtId="44" fontId="1" fillId="28" borderId="14" xfId="105" applyNumberFormat="1" applyFill="1" applyBorder="1" applyAlignment="1" applyProtection="1">
      <protection locked="0" hidden="1"/>
    </xf>
    <xf numFmtId="0" fontId="35" fillId="32" borderId="0" xfId="0" applyFont="1" applyFill="1" applyAlignment="1" applyProtection="1">
      <alignment horizontal="left" vertical="center"/>
      <protection locked="0"/>
    </xf>
    <xf numFmtId="0" fontId="41" fillId="32" borderId="0" xfId="0" applyFont="1" applyFill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horizontal="center" vertical="center"/>
      <protection locked="0"/>
    </xf>
    <xf numFmtId="0" fontId="35" fillId="2" borderId="9" xfId="0" applyFont="1" applyFill="1" applyBorder="1" applyAlignment="1" applyProtection="1">
      <alignment horizontal="left"/>
      <protection locked="0"/>
    </xf>
    <xf numFmtId="0" fontId="35" fillId="2" borderId="9" xfId="0" applyFont="1" applyFill="1" applyBorder="1" applyAlignment="1" applyProtection="1">
      <alignment horizontal="center"/>
      <protection locked="0"/>
    </xf>
    <xf numFmtId="0" fontId="48" fillId="2" borderId="0" xfId="0" applyFont="1" applyFill="1" applyAlignment="1" applyProtection="1">
      <alignment horizontal="center"/>
      <protection locked="0"/>
    </xf>
    <xf numFmtId="9" fontId="48" fillId="0" borderId="0" xfId="7" applyFont="1" applyAlignment="1" applyProtection="1">
      <alignment horizontal="center"/>
      <protection locked="0"/>
    </xf>
    <xf numFmtId="0" fontId="48" fillId="2" borderId="4" xfId="0" applyFont="1" applyFill="1" applyBorder="1" applyAlignment="1" applyProtection="1">
      <alignment horizontal="left"/>
      <protection locked="0"/>
    </xf>
    <xf numFmtId="9" fontId="48" fillId="2" borderId="4" xfId="7" applyFont="1" applyFill="1" applyBorder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/>
      <protection locked="0"/>
    </xf>
    <xf numFmtId="175" fontId="48" fillId="0" borderId="0" xfId="0" applyNumberFormat="1" applyFont="1" applyAlignment="1" applyProtection="1">
      <alignment horizontal="center"/>
      <protection locked="0"/>
    </xf>
    <xf numFmtId="1" fontId="48" fillId="0" borderId="0" xfId="0" applyNumberFormat="1" applyFont="1" applyAlignment="1" applyProtection="1">
      <alignment horizontal="center"/>
      <protection locked="0"/>
    </xf>
    <xf numFmtId="0" fontId="48" fillId="2" borderId="4" xfId="0" applyFont="1" applyFill="1" applyBorder="1" applyAlignment="1" applyProtection="1">
      <alignment horizontal="left" vertical="center" wrapText="1"/>
      <protection locked="0"/>
    </xf>
    <xf numFmtId="2" fontId="48" fillId="0" borderId="0" xfId="0" applyNumberFormat="1" applyFont="1" applyAlignment="1" applyProtection="1">
      <alignment horizontal="center"/>
      <protection locked="0"/>
    </xf>
    <xf numFmtId="0" fontId="48" fillId="2" borderId="0" xfId="0" applyFont="1" applyFill="1" applyAlignment="1" applyProtection="1">
      <alignment horizontal="left" vertical="center" wrapText="1"/>
      <protection locked="0"/>
    </xf>
    <xf numFmtId="0" fontId="35" fillId="0" borderId="0" xfId="0" applyFont="1" applyProtection="1">
      <protection locked="0"/>
    </xf>
    <xf numFmtId="0" fontId="35" fillId="32" borderId="0" xfId="0" applyFont="1" applyFill="1" applyAlignment="1" applyProtection="1">
      <alignment horizontal="center" vertical="center"/>
      <protection locked="0"/>
    </xf>
    <xf numFmtId="0" fontId="35" fillId="32" borderId="0" xfId="0" applyFont="1" applyFill="1" applyAlignment="1" applyProtection="1">
      <alignment horizontal="left"/>
      <protection locked="0"/>
    </xf>
    <xf numFmtId="0" fontId="35" fillId="32" borderId="0" xfId="0" applyFont="1" applyFill="1" applyAlignment="1" applyProtection="1">
      <alignment horizontal="left" wrapText="1"/>
      <protection locked="0"/>
    </xf>
    <xf numFmtId="0" fontId="35" fillId="28" borderId="23" xfId="0" applyFont="1" applyFill="1" applyBorder="1" applyAlignment="1" applyProtection="1">
      <alignment horizontal="left"/>
      <protection locked="0"/>
    </xf>
    <xf numFmtId="0" fontId="35" fillId="28" borderId="42" xfId="0" applyFont="1" applyFill="1" applyBorder="1" applyAlignment="1" applyProtection="1">
      <alignment horizontal="center"/>
      <protection locked="0"/>
    </xf>
    <xf numFmtId="0" fontId="35" fillId="28" borderId="43" xfId="0" applyFont="1" applyFill="1" applyBorder="1" applyAlignment="1" applyProtection="1">
      <alignment horizontal="center"/>
      <protection locked="0"/>
    </xf>
    <xf numFmtId="0" fontId="35" fillId="28" borderId="44" xfId="0" applyFont="1" applyFill="1" applyBorder="1" applyAlignment="1" applyProtection="1">
      <alignment horizontal="center"/>
      <protection locked="0"/>
    </xf>
    <xf numFmtId="0" fontId="35" fillId="28" borderId="9" xfId="0" applyFont="1" applyFill="1" applyBorder="1" applyAlignment="1" applyProtection="1">
      <alignment horizontal="left" vertical="center"/>
      <protection locked="0"/>
    </xf>
    <xf numFmtId="0" fontId="35" fillId="28" borderId="9" xfId="0" applyFont="1" applyFill="1" applyBorder="1" applyAlignment="1" applyProtection="1">
      <alignment horizontal="center" vertical="center" wrapText="1"/>
      <protection locked="0"/>
    </xf>
    <xf numFmtId="0" fontId="35" fillId="28" borderId="95" xfId="0" applyFont="1" applyFill="1" applyBorder="1" applyAlignment="1" applyProtection="1">
      <alignment horizontal="center" vertical="center" wrapText="1"/>
      <protection locked="0"/>
    </xf>
    <xf numFmtId="0" fontId="35" fillId="28" borderId="87" xfId="0" applyFont="1" applyFill="1" applyBorder="1" applyAlignment="1" applyProtection="1">
      <alignment horizontal="center" vertical="center" wrapText="1"/>
      <protection locked="0"/>
    </xf>
    <xf numFmtId="0" fontId="48" fillId="0" borderId="4" xfId="0" applyFont="1" applyBorder="1" applyAlignment="1" applyProtection="1">
      <alignment horizontal="center" vertical="center" wrapText="1"/>
      <protection locked="0"/>
    </xf>
    <xf numFmtId="173" fontId="48" fillId="0" borderId="4" xfId="0" applyNumberFormat="1" applyFont="1" applyBorder="1" applyAlignment="1" applyProtection="1">
      <alignment horizontal="center" vertical="center" wrapText="1"/>
      <protection locked="0"/>
    </xf>
    <xf numFmtId="0" fontId="48" fillId="0" borderId="24" xfId="0" applyFont="1" applyBorder="1" applyAlignment="1" applyProtection="1">
      <alignment horizontal="center" vertical="center"/>
      <protection locked="0"/>
    </xf>
    <xf numFmtId="0" fontId="48" fillId="0" borderId="26" xfId="0" applyFont="1" applyBorder="1" applyAlignment="1" applyProtection="1">
      <alignment horizontal="center" vertical="center"/>
      <protection locked="0"/>
    </xf>
    <xf numFmtId="0" fontId="48" fillId="0" borderId="24" xfId="0" applyFont="1" applyBorder="1" applyAlignment="1" applyProtection="1">
      <alignment horizontal="center" vertical="center" wrapText="1"/>
      <protection locked="0"/>
    </xf>
    <xf numFmtId="0" fontId="48" fillId="0" borderId="26" xfId="0" applyFont="1" applyBorder="1" applyAlignment="1" applyProtection="1">
      <alignment horizontal="center" vertical="center" wrapText="1"/>
      <protection locked="0"/>
    </xf>
    <xf numFmtId="173" fontId="48" fillId="0" borderId="4" xfId="0" applyNumberFormat="1" applyFont="1" applyBorder="1" applyAlignment="1" applyProtection="1">
      <alignment horizontal="center" vertical="center"/>
      <protection locked="0"/>
    </xf>
    <xf numFmtId="0" fontId="48" fillId="0" borderId="4" xfId="0" applyFont="1" applyBorder="1" applyAlignment="1" applyProtection="1">
      <alignment horizontal="center" vertical="center"/>
      <protection locked="0"/>
    </xf>
    <xf numFmtId="173" fontId="48" fillId="0" borderId="24" xfId="0" applyNumberFormat="1" applyFont="1" applyBorder="1" applyAlignment="1" applyProtection="1">
      <alignment horizontal="center" vertical="center" wrapText="1"/>
      <protection locked="0"/>
    </xf>
    <xf numFmtId="173" fontId="48" fillId="0" borderId="26" xfId="0" applyNumberFormat="1" applyFont="1" applyBorder="1" applyAlignment="1" applyProtection="1">
      <alignment horizontal="center" vertical="center" wrapText="1"/>
      <protection locked="0"/>
    </xf>
    <xf numFmtId="0" fontId="48" fillId="2" borderId="13" xfId="0" applyFont="1" applyFill="1" applyBorder="1" applyAlignment="1" applyProtection="1">
      <alignment horizontal="left"/>
      <protection locked="0"/>
    </xf>
    <xf numFmtId="173" fontId="48" fillId="0" borderId="13" xfId="0" applyNumberFormat="1" applyFont="1" applyBorder="1" applyAlignment="1" applyProtection="1">
      <alignment horizontal="center" vertical="center" wrapText="1"/>
      <protection locked="0"/>
    </xf>
    <xf numFmtId="0" fontId="35" fillId="28" borderId="10" xfId="0" applyFont="1" applyFill="1" applyBorder="1" applyAlignment="1" applyProtection="1">
      <alignment horizontal="center"/>
      <protection locked="0"/>
    </xf>
    <xf numFmtId="0" fontId="48" fillId="0" borderId="4" xfId="0" applyFont="1" applyBorder="1" applyProtection="1">
      <protection locked="0"/>
    </xf>
    <xf numFmtId="0" fontId="48" fillId="0" borderId="4" xfId="0" applyFont="1" applyBorder="1" applyAlignment="1" applyProtection="1">
      <alignment horizontal="center"/>
      <protection locked="0"/>
    </xf>
    <xf numFmtId="173" fontId="48" fillId="0" borderId="24" xfId="0" applyNumberFormat="1" applyFont="1" applyBorder="1" applyAlignment="1" applyProtection="1">
      <alignment horizontal="center" vertical="center"/>
      <protection locked="0"/>
    </xf>
    <xf numFmtId="173" fontId="48" fillId="0" borderId="26" xfId="0" applyNumberFormat="1" applyFont="1" applyBorder="1" applyAlignment="1" applyProtection="1">
      <alignment horizontal="center" vertical="center"/>
      <protection locked="0"/>
    </xf>
    <xf numFmtId="2" fontId="48" fillId="0" borderId="4" xfId="0" applyNumberFormat="1" applyFont="1" applyBorder="1" applyAlignment="1" applyProtection="1">
      <alignment horizontal="center" vertical="center"/>
      <protection locked="0"/>
    </xf>
    <xf numFmtId="0" fontId="35" fillId="28" borderId="10" xfId="0" applyFont="1" applyFill="1" applyBorder="1" applyProtection="1">
      <protection locked="0"/>
    </xf>
    <xf numFmtId="0" fontId="35" fillId="28" borderId="88" xfId="0" applyFont="1" applyFill="1" applyBorder="1" applyAlignment="1" applyProtection="1">
      <alignment horizontal="center"/>
      <protection locked="0"/>
    </xf>
    <xf numFmtId="0" fontId="35" fillId="28" borderId="69" xfId="0" applyFont="1" applyFill="1" applyBorder="1" applyAlignment="1" applyProtection="1">
      <alignment horizontal="center"/>
      <protection locked="0"/>
    </xf>
    <xf numFmtId="0" fontId="48" fillId="28" borderId="9" xfId="0" applyFont="1" applyFill="1" applyBorder="1" applyProtection="1">
      <protection locked="0"/>
    </xf>
    <xf numFmtId="0" fontId="35" fillId="28" borderId="11" xfId="0" applyFont="1" applyFill="1" applyBorder="1" applyAlignment="1" applyProtection="1">
      <alignment horizontal="center"/>
      <protection locked="0"/>
    </xf>
    <xf numFmtId="173" fontId="48" fillId="0" borderId="0" xfId="0" applyNumberFormat="1" applyFont="1" applyAlignment="1" applyProtection="1">
      <alignment horizontal="center" vertical="center" wrapText="1"/>
      <protection locked="0"/>
    </xf>
    <xf numFmtId="1" fontId="48" fillId="0" borderId="4" xfId="0" applyNumberFormat="1" applyFont="1" applyBorder="1" applyAlignment="1" applyProtection="1">
      <alignment horizontal="center" vertical="center"/>
      <protection locked="0"/>
    </xf>
    <xf numFmtId="0" fontId="35" fillId="7" borderId="23" xfId="0" applyFont="1" applyFill="1" applyBorder="1" applyAlignment="1" applyProtection="1">
      <alignment horizontal="left"/>
      <protection locked="0"/>
    </xf>
    <xf numFmtId="9" fontId="48" fillId="7" borderId="11" xfId="7" applyFont="1" applyFill="1" applyBorder="1" applyAlignment="1" applyProtection="1">
      <alignment horizontal="center"/>
      <protection locked="0"/>
    </xf>
    <xf numFmtId="173" fontId="48" fillId="2" borderId="0" xfId="0" applyNumberFormat="1" applyFont="1" applyFill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 wrapText="1"/>
      <protection locked="0"/>
    </xf>
    <xf numFmtId="173" fontId="48" fillId="0" borderId="0" xfId="0" applyNumberFormat="1" applyFont="1" applyAlignment="1" applyProtection="1">
      <alignment horizontal="center" vertical="center"/>
      <protection locked="0"/>
    </xf>
    <xf numFmtId="0" fontId="35" fillId="2" borderId="0" xfId="0" applyFont="1" applyFill="1" applyProtection="1">
      <protection locked="0"/>
    </xf>
    <xf numFmtId="0" fontId="35" fillId="28" borderId="0" xfId="0" applyFont="1" applyFill="1" applyAlignment="1" applyProtection="1">
      <alignment horizontal="left"/>
      <protection locked="0"/>
    </xf>
    <xf numFmtId="0" fontId="35" fillId="28" borderId="0" xfId="0" applyFont="1" applyFill="1" applyAlignment="1" applyProtection="1">
      <alignment horizontal="left" wrapText="1"/>
      <protection locked="0"/>
    </xf>
    <xf numFmtId="0" fontId="35" fillId="0" borderId="0" xfId="0" applyFont="1" applyAlignment="1" applyProtection="1">
      <alignment horizontal="left" wrapText="1"/>
      <protection locked="0"/>
    </xf>
    <xf numFmtId="0" fontId="35" fillId="28" borderId="4" xfId="0" applyFont="1" applyFill="1" applyBorder="1" applyAlignment="1" applyProtection="1">
      <alignment horizontal="left" vertical="center"/>
      <protection locked="0"/>
    </xf>
    <xf numFmtId="0" fontId="35" fillId="28" borderId="4" xfId="0" applyFont="1" applyFill="1" applyBorder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 vertical="center"/>
      <protection locked="0"/>
    </xf>
    <xf numFmtId="0" fontId="35" fillId="28" borderId="0" xfId="0" applyFont="1" applyFill="1" applyAlignment="1" applyProtection="1">
      <alignment horizontal="left" vertical="center"/>
      <protection locked="0"/>
    </xf>
    <xf numFmtId="0" fontId="35" fillId="28" borderId="0" xfId="0" applyFont="1" applyFill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48" fillId="2" borderId="0" xfId="0" applyFont="1" applyFill="1" applyAlignment="1" applyProtection="1">
      <alignment horizontal="left"/>
      <protection locked="0"/>
    </xf>
    <xf numFmtId="9" fontId="48" fillId="2" borderId="0" xfId="7" applyFont="1" applyFill="1" applyBorder="1" applyAlignment="1" applyProtection="1">
      <alignment horizontal="center"/>
      <protection locked="0"/>
    </xf>
    <xf numFmtId="0" fontId="48" fillId="0" borderId="4" xfId="0" applyFont="1" applyBorder="1" applyAlignment="1" applyProtection="1">
      <alignment horizontal="left"/>
      <protection locked="0"/>
    </xf>
    <xf numFmtId="9" fontId="48" fillId="0" borderId="4" xfId="7" applyFont="1" applyFill="1" applyBorder="1" applyAlignment="1" applyProtection="1">
      <alignment horizontal="center"/>
      <protection locked="0"/>
    </xf>
    <xf numFmtId="0" fontId="35" fillId="2" borderId="29" xfId="0" applyFont="1" applyFill="1" applyBorder="1" applyAlignment="1" applyProtection="1">
      <alignment horizontal="center"/>
      <protection locked="0"/>
    </xf>
    <xf numFmtId="0" fontId="2" fillId="0" borderId="4" xfId="0" applyFont="1" applyBorder="1" applyAlignment="1" applyProtection="1">
      <alignment vertical="center"/>
      <protection locked="0"/>
    </xf>
    <xf numFmtId="0" fontId="2" fillId="0" borderId="4" xfId="0" applyFont="1" applyBorder="1" applyProtection="1">
      <protection locked="0"/>
    </xf>
    <xf numFmtId="0" fontId="2" fillId="0" borderId="0" xfId="0" applyFont="1" applyProtection="1">
      <protection locked="0"/>
    </xf>
    <xf numFmtId="0" fontId="48" fillId="0" borderId="24" xfId="0" applyFont="1" applyBorder="1" applyAlignment="1" applyProtection="1">
      <alignment horizontal="center"/>
      <protection locked="0"/>
    </xf>
    <xf numFmtId="0" fontId="48" fillId="0" borderId="25" xfId="0" applyFont="1" applyBorder="1" applyAlignment="1" applyProtection="1">
      <alignment horizontal="center"/>
      <protection locked="0"/>
    </xf>
    <xf numFmtId="0" fontId="48" fillId="0" borderId="26" xfId="0" applyFont="1" applyBorder="1" applyAlignment="1" applyProtection="1">
      <alignment horizontal="center"/>
      <protection locked="0"/>
    </xf>
    <xf numFmtId="0" fontId="48" fillId="0" borderId="24" xfId="0" applyFont="1" applyBorder="1" applyAlignment="1" applyProtection="1">
      <alignment horizontal="left" vertical="center" wrapText="1"/>
      <protection locked="0"/>
    </xf>
    <xf numFmtId="0" fontId="48" fillId="0" borderId="25" xfId="0" applyFont="1" applyBorder="1" applyAlignment="1" applyProtection="1">
      <alignment horizontal="left" vertical="center" wrapText="1"/>
      <protection locked="0"/>
    </xf>
    <xf numFmtId="0" fontId="48" fillId="0" borderId="26" xfId="0" applyFont="1" applyBorder="1" applyAlignment="1" applyProtection="1">
      <alignment horizontal="left" vertical="center" wrapText="1"/>
      <protection locked="0"/>
    </xf>
    <xf numFmtId="0" fontId="48" fillId="2" borderId="0" xfId="0" applyFont="1" applyFill="1" applyAlignment="1" applyProtection="1">
      <alignment horizontal="center" vertical="center" wrapText="1"/>
      <protection locked="0"/>
    </xf>
    <xf numFmtId="0" fontId="48" fillId="0" borderId="24" xfId="0" applyFont="1" applyBorder="1" applyAlignment="1" applyProtection="1">
      <alignment horizontal="center" vertical="center"/>
      <protection locked="0"/>
    </xf>
    <xf numFmtId="0" fontId="48" fillId="0" borderId="25" xfId="0" applyFont="1" applyBorder="1" applyAlignment="1" applyProtection="1">
      <alignment horizontal="center" vertical="center" wrapText="1"/>
      <protection locked="0"/>
    </xf>
    <xf numFmtId="0" fontId="48" fillId="0" borderId="26" xfId="0" applyFont="1" applyBorder="1" applyAlignment="1" applyProtection="1">
      <alignment horizontal="center" vertical="center" wrapText="1"/>
      <protection locked="0"/>
    </xf>
    <xf numFmtId="0" fontId="48" fillId="2" borderId="0" xfId="0" applyFont="1" applyFill="1" applyAlignment="1" applyProtection="1">
      <alignment horizontal="left" vertical="center"/>
      <protection locked="0"/>
    </xf>
    <xf numFmtId="0" fontId="48" fillId="2" borderId="4" xfId="0" applyFont="1" applyFill="1" applyBorder="1" applyAlignment="1" applyProtection="1">
      <alignment horizontal="center" vertical="center"/>
      <protection locked="0"/>
    </xf>
    <xf numFmtId="4" fontId="48" fillId="0" borderId="0" xfId="0" applyNumberFormat="1" applyFont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left"/>
      <protection locked="0"/>
    </xf>
    <xf numFmtId="10" fontId="48" fillId="2" borderId="4" xfId="0" applyNumberFormat="1" applyFont="1" applyFill="1" applyBorder="1" applyAlignment="1" applyProtection="1">
      <alignment horizontal="center" vertical="center"/>
      <protection locked="0"/>
    </xf>
    <xf numFmtId="10" fontId="48" fillId="2" borderId="0" xfId="0" applyNumberFormat="1" applyFont="1" applyFill="1" applyAlignment="1" applyProtection="1">
      <alignment horizontal="center" vertical="center"/>
      <protection locked="0"/>
    </xf>
    <xf numFmtId="0" fontId="53" fillId="0" borderId="9" xfId="0" applyFont="1" applyBorder="1" applyAlignment="1" applyProtection="1">
      <alignment horizontal="left" vertical="center"/>
      <protection locked="0"/>
    </xf>
    <xf numFmtId="0" fontId="53" fillId="0" borderId="17" xfId="0" applyFont="1" applyBorder="1" applyAlignment="1" applyProtection="1">
      <alignment horizontal="left" vertical="center"/>
      <protection locked="0"/>
    </xf>
    <xf numFmtId="0" fontId="53" fillId="2" borderId="0" xfId="0" applyFont="1" applyFill="1" applyAlignment="1" applyProtection="1">
      <alignment horizontal="left" vertical="center"/>
      <protection locked="0"/>
    </xf>
    <xf numFmtId="0" fontId="48" fillId="0" borderId="4" xfId="0" applyFont="1" applyBorder="1" applyAlignment="1" applyProtection="1">
      <alignment horizontal="left" vertical="center"/>
      <protection locked="0"/>
    </xf>
    <xf numFmtId="10" fontId="48" fillId="0" borderId="14" xfId="0" applyNumberFormat="1" applyFont="1" applyBorder="1" applyAlignment="1" applyProtection="1">
      <alignment horizontal="center" vertical="center"/>
      <protection locked="0"/>
    </xf>
    <xf numFmtId="10" fontId="48" fillId="2" borderId="0" xfId="0" applyNumberFormat="1" applyFont="1" applyFill="1" applyAlignment="1" applyProtection="1">
      <alignment horizontal="right" vertical="center"/>
      <protection locked="0"/>
    </xf>
    <xf numFmtId="0" fontId="54" fillId="0" borderId="4" xfId="0" applyFont="1" applyBorder="1" applyAlignment="1" applyProtection="1">
      <alignment horizontal="left" vertical="center"/>
      <protection locked="0"/>
    </xf>
    <xf numFmtId="10" fontId="54" fillId="0" borderId="14" xfId="0" applyNumberFormat="1" applyFont="1" applyBorder="1" applyAlignment="1" applyProtection="1">
      <alignment horizontal="center" vertical="center"/>
      <protection locked="0"/>
    </xf>
    <xf numFmtId="10" fontId="54" fillId="2" borderId="0" xfId="0" applyNumberFormat="1" applyFont="1" applyFill="1" applyAlignment="1" applyProtection="1">
      <alignment horizontal="right" vertical="center"/>
      <protection locked="0"/>
    </xf>
    <xf numFmtId="0" fontId="54" fillId="28" borderId="4" xfId="0" applyFont="1" applyFill="1" applyBorder="1" applyAlignment="1" applyProtection="1">
      <alignment horizontal="left" vertical="center"/>
      <protection locked="0"/>
    </xf>
    <xf numFmtId="10" fontId="54" fillId="28" borderId="14" xfId="0" applyNumberFormat="1" applyFont="1" applyFill="1" applyBorder="1" applyAlignment="1" applyProtection="1">
      <alignment horizontal="center" vertical="center"/>
      <protection locked="0"/>
    </xf>
    <xf numFmtId="0" fontId="52" fillId="0" borderId="4" xfId="0" applyFont="1" applyBorder="1" applyAlignment="1" applyProtection="1">
      <alignment horizontal="left" vertical="center"/>
      <protection locked="0"/>
    </xf>
    <xf numFmtId="10" fontId="53" fillId="0" borderId="14" xfId="0" applyNumberFormat="1" applyFont="1" applyBorder="1" applyAlignment="1" applyProtection="1">
      <alignment horizontal="center" vertical="center"/>
      <protection locked="0"/>
    </xf>
    <xf numFmtId="10" fontId="53" fillId="2" borderId="0" xfId="0" applyNumberFormat="1" applyFont="1" applyFill="1" applyAlignment="1" applyProtection="1">
      <alignment horizontal="right" vertical="center"/>
      <protection locked="0"/>
    </xf>
    <xf numFmtId="0" fontId="53" fillId="0" borderId="4" xfId="0" applyFont="1" applyBorder="1" applyAlignment="1" applyProtection="1">
      <alignment horizontal="left" vertical="center"/>
      <protection locked="0"/>
    </xf>
    <xf numFmtId="0" fontId="53" fillId="0" borderId="4" xfId="0" applyFont="1" applyBorder="1" applyAlignment="1" applyProtection="1">
      <alignment horizontal="left" vertical="center" wrapText="1"/>
      <protection locked="0"/>
    </xf>
    <xf numFmtId="0" fontId="48" fillId="0" borderId="0" xfId="0" applyFont="1" applyProtection="1">
      <protection locked="0"/>
    </xf>
    <xf numFmtId="0" fontId="35" fillId="32" borderId="24" xfId="0" applyFont="1" applyFill="1" applyBorder="1" applyAlignment="1" applyProtection="1">
      <alignment horizontal="left" vertical="center"/>
      <protection locked="0"/>
    </xf>
    <xf numFmtId="0" fontId="35" fillId="32" borderId="25" xfId="0" applyFont="1" applyFill="1" applyBorder="1" applyAlignment="1" applyProtection="1">
      <alignment horizontal="center" vertical="center"/>
      <protection locked="0"/>
    </xf>
    <xf numFmtId="0" fontId="35" fillId="32" borderId="26" xfId="0" applyFont="1" applyFill="1" applyBorder="1" applyAlignment="1" applyProtection="1">
      <alignment horizontal="center" vertical="center"/>
      <protection locked="0"/>
    </xf>
    <xf numFmtId="0" fontId="35" fillId="2" borderId="0" xfId="0" applyFont="1" applyFill="1" applyAlignment="1" applyProtection="1">
      <alignment horizontal="center" vertical="center"/>
      <protection locked="0"/>
    </xf>
    <xf numFmtId="0" fontId="35" fillId="7" borderId="9" xfId="0" applyFont="1" applyFill="1" applyBorder="1" applyAlignment="1" applyProtection="1">
      <alignment horizontal="left"/>
      <protection locked="0"/>
    </xf>
    <xf numFmtId="2" fontId="35" fillId="7" borderId="9" xfId="0" applyNumberFormat="1" applyFont="1" applyFill="1" applyBorder="1" applyAlignment="1" applyProtection="1">
      <alignment horizontal="center"/>
      <protection locked="0"/>
    </xf>
    <xf numFmtId="0" fontId="35" fillId="28" borderId="4" xfId="0" applyFont="1" applyFill="1" applyBorder="1" applyAlignment="1" applyProtection="1">
      <alignment horizontal="left" vertical="center" wrapText="1"/>
      <protection locked="0"/>
    </xf>
    <xf numFmtId="0" fontId="35" fillId="28" borderId="4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vertical="center" wrapText="1"/>
      <protection locked="0"/>
    </xf>
    <xf numFmtId="0" fontId="35" fillId="28" borderId="4" xfId="0" applyFont="1" applyFill="1" applyBorder="1" applyAlignment="1" applyProtection="1">
      <alignment horizontal="left"/>
      <protection locked="0"/>
    </xf>
    <xf numFmtId="2" fontId="35" fillId="7" borderId="4" xfId="0" applyNumberFormat="1" applyFont="1" applyFill="1" applyBorder="1" applyAlignment="1" applyProtection="1">
      <alignment horizontal="center"/>
      <protection locked="0"/>
    </xf>
    <xf numFmtId="0" fontId="35" fillId="2" borderId="0" xfId="0" applyFont="1" applyFill="1" applyAlignment="1" applyProtection="1">
      <alignment horizontal="center"/>
      <protection locked="0"/>
    </xf>
    <xf numFmtId="2" fontId="35" fillId="2" borderId="0" xfId="0" applyNumberFormat="1" applyFont="1" applyFill="1" applyAlignment="1" applyProtection="1">
      <alignment horizontal="center"/>
      <protection locked="0"/>
    </xf>
    <xf numFmtId="0" fontId="35" fillId="28" borderId="4" xfId="0" applyFont="1" applyFill="1" applyBorder="1" applyAlignment="1" applyProtection="1">
      <alignment horizontal="left" wrapText="1"/>
      <protection locked="0"/>
    </xf>
    <xf numFmtId="2" fontId="48" fillId="7" borderId="4" xfId="0" applyNumberFormat="1" applyFont="1" applyFill="1" applyBorder="1" applyAlignment="1" applyProtection="1">
      <alignment horizontal="center" vertical="center"/>
      <protection locked="0"/>
    </xf>
    <xf numFmtId="2" fontId="48" fillId="7" borderId="4" xfId="0" applyNumberFormat="1" applyFont="1" applyFill="1" applyBorder="1" applyAlignment="1" applyProtection="1">
      <alignment horizontal="center"/>
      <protection locked="0"/>
    </xf>
    <xf numFmtId="2" fontId="48" fillId="2" borderId="0" xfId="0" applyNumberFormat="1" applyFont="1" applyFill="1" applyAlignment="1" applyProtection="1">
      <alignment horizontal="center"/>
      <protection locked="0"/>
    </xf>
    <xf numFmtId="2" fontId="48" fillId="7" borderId="9" xfId="0" applyNumberFormat="1" applyFont="1" applyFill="1" applyBorder="1" applyAlignment="1" applyProtection="1">
      <alignment horizontal="center"/>
      <protection locked="0"/>
    </xf>
    <xf numFmtId="0" fontId="35" fillId="2" borderId="18" xfId="0" applyFont="1" applyFill="1" applyBorder="1" applyAlignment="1" applyProtection="1">
      <alignment horizontal="left"/>
      <protection locked="0"/>
    </xf>
    <xf numFmtId="2" fontId="48" fillId="2" borderId="9" xfId="0" applyNumberFormat="1" applyFont="1" applyFill="1" applyBorder="1" applyAlignment="1" applyProtection="1">
      <alignment horizontal="center"/>
      <protection locked="0"/>
    </xf>
    <xf numFmtId="0" fontId="48" fillId="2" borderId="0" xfId="0" applyFont="1" applyFill="1" applyAlignment="1" applyProtection="1">
      <alignment vertical="center" wrapText="1"/>
      <protection locked="0"/>
    </xf>
    <xf numFmtId="0" fontId="35" fillId="2" borderId="0" xfId="0" applyFont="1" applyFill="1" applyAlignment="1" applyProtection="1">
      <alignment horizontal="center" vertical="center" wrapText="1"/>
      <protection locked="0"/>
    </xf>
    <xf numFmtId="0" fontId="48" fillId="7" borderId="4" xfId="0" applyFont="1" applyFill="1" applyBorder="1" applyProtection="1">
      <protection locked="0"/>
    </xf>
    <xf numFmtId="0" fontId="35" fillId="28" borderId="25" xfId="0" applyFont="1" applyFill="1" applyBorder="1" applyAlignment="1" applyProtection="1">
      <alignment horizontal="left" vertical="center"/>
      <protection locked="0"/>
    </xf>
    <xf numFmtId="0" fontId="35" fillId="28" borderId="25" xfId="0" applyFont="1" applyFill="1" applyBorder="1" applyAlignment="1" applyProtection="1">
      <alignment horizontal="center" vertical="center"/>
      <protection locked="0"/>
    </xf>
    <xf numFmtId="0" fontId="35" fillId="28" borderId="25" xfId="0" applyFont="1" applyFill="1" applyBorder="1" applyAlignment="1" applyProtection="1">
      <alignment horizontal="center" vertical="center" wrapText="1"/>
      <protection locked="0"/>
    </xf>
    <xf numFmtId="0" fontId="35" fillId="28" borderId="26" xfId="0" applyFont="1" applyFill="1" applyBorder="1" applyAlignment="1" applyProtection="1">
      <alignment horizontal="center" vertical="center"/>
      <protection locked="0"/>
    </xf>
    <xf numFmtId="0" fontId="35" fillId="28" borderId="24" xfId="0" applyFont="1" applyFill="1" applyBorder="1" applyAlignment="1" applyProtection="1">
      <alignment horizontal="center" vertical="center" wrapText="1"/>
      <protection locked="0"/>
    </xf>
    <xf numFmtId="0" fontId="48" fillId="2" borderId="0" xfId="0" applyFont="1" applyFill="1" applyProtection="1">
      <protection locked="0"/>
    </xf>
    <xf numFmtId="0" fontId="48" fillId="7" borderId="4" xfId="0" applyFont="1" applyFill="1" applyBorder="1" applyAlignment="1" applyProtection="1">
      <alignment horizontal="left" vertical="center" wrapText="1"/>
      <protection locked="0"/>
    </xf>
    <xf numFmtId="9" fontId="48" fillId="7" borderId="9" xfId="0" applyNumberFormat="1" applyFont="1" applyFill="1" applyBorder="1" applyAlignment="1" applyProtection="1">
      <alignment horizontal="center" vertical="center"/>
      <protection locked="0"/>
    </xf>
    <xf numFmtId="0" fontId="48" fillId="7" borderId="19" xfId="0" applyFont="1" applyFill="1" applyBorder="1" applyAlignment="1" applyProtection="1">
      <alignment horizontal="center" vertical="center"/>
      <protection locked="0"/>
    </xf>
    <xf numFmtId="0" fontId="48" fillId="7" borderId="4" xfId="0" applyFont="1" applyFill="1" applyBorder="1" applyAlignment="1" applyProtection="1">
      <alignment horizontal="center" vertical="center"/>
      <protection locked="0"/>
    </xf>
    <xf numFmtId="167" fontId="48" fillId="7" borderId="4" xfId="29" applyFont="1" applyFill="1" applyBorder="1" applyAlignment="1" applyProtection="1">
      <alignment vertical="center"/>
      <protection locked="0"/>
    </xf>
    <xf numFmtId="3" fontId="48" fillId="7" borderId="4" xfId="29" applyNumberFormat="1" applyFont="1" applyFill="1" applyBorder="1" applyAlignment="1" applyProtection="1">
      <alignment horizontal="center" vertical="center"/>
      <protection locked="0"/>
    </xf>
    <xf numFmtId="3" fontId="48" fillId="7" borderId="4" xfId="0" applyNumberFormat="1" applyFont="1" applyFill="1" applyBorder="1" applyAlignment="1" applyProtection="1">
      <alignment horizontal="center" vertical="center"/>
      <protection locked="0"/>
    </xf>
    <xf numFmtId="0" fontId="48" fillId="0" borderId="0" xfId="0" applyFont="1" applyAlignment="1" applyProtection="1">
      <alignment horizontal="left" vertical="center" wrapText="1"/>
      <protection locked="0"/>
    </xf>
    <xf numFmtId="9" fontId="48" fillId="0" borderId="0" xfId="0" applyNumberFormat="1" applyFont="1" applyAlignment="1" applyProtection="1">
      <alignment horizontal="center" vertical="center"/>
      <protection locked="0"/>
    </xf>
    <xf numFmtId="2" fontId="48" fillId="0" borderId="0" xfId="0" applyNumberFormat="1" applyFont="1" applyAlignment="1" applyProtection="1">
      <alignment horizontal="center" vertical="center"/>
      <protection locked="0"/>
    </xf>
    <xf numFmtId="0" fontId="35" fillId="28" borderId="0" xfId="0" applyFont="1" applyFill="1" applyAlignment="1" applyProtection="1">
      <alignment horizontal="center" vertical="center" wrapText="1"/>
      <protection locked="0"/>
    </xf>
    <xf numFmtId="0" fontId="35" fillId="27" borderId="9" xfId="0" applyFont="1" applyFill="1" applyBorder="1" applyAlignment="1" applyProtection="1">
      <alignment horizontal="left" vertical="center" wrapText="1"/>
      <protection locked="0"/>
    </xf>
    <xf numFmtId="0" fontId="35" fillId="27" borderId="9" xfId="0" applyFont="1" applyFill="1" applyBorder="1" applyAlignment="1" applyProtection="1">
      <alignment horizontal="center" vertical="center" wrapText="1"/>
      <protection locked="0"/>
    </xf>
    <xf numFmtId="0" fontId="35" fillId="27" borderId="0" xfId="0" applyFont="1" applyFill="1" applyAlignment="1" applyProtection="1">
      <alignment horizontal="center" vertical="center" wrapText="1"/>
      <protection locked="0"/>
    </xf>
    <xf numFmtId="4" fontId="48" fillId="7" borderId="4" xfId="0" applyNumberFormat="1" applyFont="1" applyFill="1" applyBorder="1" applyAlignment="1" applyProtection="1">
      <alignment horizontal="center" vertical="center"/>
      <protection locked="0"/>
    </xf>
    <xf numFmtId="4" fontId="48" fillId="7" borderId="24" xfId="0" applyNumberFormat="1" applyFont="1" applyFill="1" applyBorder="1" applyAlignment="1" applyProtection="1">
      <alignment horizontal="center" vertical="center"/>
      <protection locked="0"/>
    </xf>
    <xf numFmtId="0" fontId="48" fillId="7" borderId="0" xfId="0" applyFont="1" applyFill="1" applyAlignment="1" applyProtection="1">
      <alignment horizontal="center" vertical="center"/>
      <protection locked="0"/>
    </xf>
    <xf numFmtId="174" fontId="48" fillId="7" borderId="4" xfId="0" applyNumberFormat="1" applyFont="1" applyFill="1" applyBorder="1" applyAlignment="1" applyProtection="1">
      <alignment horizontal="center" vertical="center"/>
      <protection locked="0"/>
    </xf>
    <xf numFmtId="174" fontId="48" fillId="7" borderId="0" xfId="0" applyNumberFormat="1" applyFont="1" applyFill="1" applyAlignment="1" applyProtection="1">
      <alignment horizontal="center" vertical="center"/>
      <protection locked="0"/>
    </xf>
    <xf numFmtId="4" fontId="48" fillId="7" borderId="4" xfId="29" applyNumberFormat="1" applyFont="1" applyFill="1" applyBorder="1" applyAlignment="1" applyProtection="1">
      <alignment horizontal="center" vertical="center"/>
      <protection locked="0"/>
    </xf>
    <xf numFmtId="0" fontId="48" fillId="7" borderId="0" xfId="0" applyFont="1" applyFill="1" applyProtection="1">
      <protection locked="0"/>
    </xf>
    <xf numFmtId="0" fontId="48" fillId="0" borderId="0" xfId="0" applyFont="1" applyAlignment="1" applyProtection="1">
      <alignment horizontal="left" wrapText="1"/>
      <protection locked="0"/>
    </xf>
    <xf numFmtId="4" fontId="48" fillId="0" borderId="0" xfId="29" applyNumberFormat="1" applyFont="1" applyFill="1" applyBorder="1" applyAlignment="1" applyProtection="1">
      <alignment horizontal="center" vertical="center"/>
      <protection locked="0"/>
    </xf>
    <xf numFmtId="0" fontId="35" fillId="2" borderId="0" xfId="0" applyFont="1" applyFill="1" applyAlignment="1" applyProtection="1">
      <alignment horizontal="left"/>
      <protection locked="0"/>
    </xf>
    <xf numFmtId="4" fontId="48" fillId="7" borderId="4" xfId="0" applyNumberFormat="1" applyFont="1" applyFill="1" applyBorder="1" applyAlignment="1" applyProtection="1">
      <alignment horizontal="center"/>
      <protection locked="0"/>
    </xf>
    <xf numFmtId="167" fontId="48" fillId="7" borderId="4" xfId="29" applyFont="1" applyFill="1" applyBorder="1" applyAlignment="1" applyProtection="1">
      <alignment horizontal="center" vertical="center"/>
      <protection locked="0"/>
    </xf>
    <xf numFmtId="0" fontId="48" fillId="7" borderId="4" xfId="0" applyFont="1" applyFill="1" applyBorder="1" applyAlignment="1" applyProtection="1">
      <alignment horizontal="center"/>
      <protection locked="0"/>
    </xf>
    <xf numFmtId="4" fontId="52" fillId="7" borderId="4" xfId="0" applyNumberFormat="1" applyFont="1" applyFill="1" applyBorder="1" applyAlignment="1" applyProtection="1">
      <alignment horizontal="center"/>
      <protection locked="0"/>
    </xf>
    <xf numFmtId="167" fontId="48" fillId="2" borderId="0" xfId="29" applyFont="1" applyFill="1" applyBorder="1" applyAlignment="1" applyProtection="1">
      <alignment horizontal="center" vertical="center"/>
      <protection locked="0"/>
    </xf>
    <xf numFmtId="4" fontId="48" fillId="2" borderId="0" xfId="0" applyNumberFormat="1" applyFont="1" applyFill="1" applyAlignment="1" applyProtection="1">
      <alignment horizontal="center"/>
      <protection locked="0"/>
    </xf>
    <xf numFmtId="43" fontId="48" fillId="2" borderId="0" xfId="0" applyNumberFormat="1" applyFont="1" applyFill="1" applyAlignment="1" applyProtection="1">
      <alignment horizontal="center"/>
      <protection locked="0"/>
    </xf>
    <xf numFmtId="0" fontId="48" fillId="7" borderId="9" xfId="0" applyFont="1" applyFill="1" applyBorder="1" applyAlignment="1" applyProtection="1">
      <alignment horizontal="left" vertical="center" wrapText="1"/>
      <protection locked="0"/>
    </xf>
    <xf numFmtId="167" fontId="48" fillId="7" borderId="9" xfId="29" applyFont="1" applyFill="1" applyBorder="1" applyAlignment="1" applyProtection="1">
      <alignment horizontal="center" vertical="center"/>
      <protection locked="0"/>
    </xf>
    <xf numFmtId="0" fontId="48" fillId="7" borderId="9" xfId="0" applyFont="1" applyFill="1" applyBorder="1" applyAlignment="1" applyProtection="1">
      <alignment horizontal="center"/>
      <protection locked="0"/>
    </xf>
    <xf numFmtId="4" fontId="48" fillId="7" borderId="9" xfId="0" applyNumberFormat="1" applyFont="1" applyFill="1" applyBorder="1" applyAlignment="1" applyProtection="1">
      <alignment horizontal="center"/>
      <protection locked="0"/>
    </xf>
    <xf numFmtId="43" fontId="48" fillId="0" borderId="0" xfId="0" applyNumberFormat="1" applyFont="1" applyProtection="1">
      <protection locked="0"/>
    </xf>
    <xf numFmtId="0" fontId="35" fillId="28" borderId="4" xfId="0" applyFont="1" applyFill="1" applyBorder="1" applyAlignment="1" applyProtection="1">
      <alignment horizontal="left" vertical="center" wrapText="1"/>
      <protection locked="0" hidden="1"/>
    </xf>
    <xf numFmtId="0" fontId="35" fillId="28" borderId="4" xfId="0" applyFont="1" applyFill="1" applyBorder="1" applyAlignment="1" applyProtection="1">
      <alignment horizontal="center" vertical="center" wrapText="1"/>
      <protection locked="0" hidden="1"/>
    </xf>
    <xf numFmtId="0" fontId="35" fillId="28" borderId="24" xfId="0" applyFont="1" applyFill="1" applyBorder="1" applyAlignment="1" applyProtection="1">
      <alignment horizontal="center" vertical="center" wrapText="1"/>
      <protection locked="0" hidden="1"/>
    </xf>
    <xf numFmtId="43" fontId="48" fillId="0" borderId="0" xfId="0" applyNumberFormat="1" applyFont="1" applyAlignment="1" applyProtection="1">
      <alignment horizontal="center"/>
      <protection locked="0" hidden="1"/>
    </xf>
    <xf numFmtId="0" fontId="48" fillId="7" borderId="4" xfId="0" applyFont="1" applyFill="1" applyBorder="1" applyAlignment="1" applyProtection="1">
      <alignment horizontal="left" vertical="center" wrapText="1"/>
      <protection locked="0" hidden="1"/>
    </xf>
    <xf numFmtId="167" fontId="48" fillId="7" borderId="4" xfId="29" applyFont="1" applyFill="1" applyBorder="1" applyAlignment="1" applyProtection="1">
      <alignment vertical="center"/>
      <protection locked="0" hidden="1"/>
    </xf>
    <xf numFmtId="167" fontId="52" fillId="7" borderId="24" xfId="29" applyFont="1" applyFill="1" applyBorder="1" applyAlignment="1" applyProtection="1">
      <alignment vertical="center"/>
      <protection locked="0" hidden="1"/>
    </xf>
    <xf numFmtId="167" fontId="52" fillId="7" borderId="4" xfId="29" applyFont="1" applyFill="1" applyBorder="1" applyAlignment="1" applyProtection="1">
      <alignment vertical="center"/>
      <protection locked="0" hidden="1"/>
    </xf>
    <xf numFmtId="167" fontId="48" fillId="7" borderId="4" xfId="29" applyFont="1" applyFill="1" applyBorder="1" applyAlignment="1" applyProtection="1">
      <alignment horizontal="center" vertical="center"/>
      <protection locked="0" hidden="1"/>
    </xf>
    <xf numFmtId="167" fontId="48" fillId="7" borderId="24" xfId="29" applyFont="1" applyFill="1" applyBorder="1" applyAlignment="1" applyProtection="1">
      <alignment vertical="center"/>
      <protection locked="0" hidden="1"/>
    </xf>
    <xf numFmtId="167" fontId="48" fillId="7" borderId="0" xfId="29" applyFont="1" applyFill="1" applyBorder="1" applyAlignment="1" applyProtection="1">
      <protection locked="0" hidden="1"/>
    </xf>
    <xf numFmtId="167" fontId="48" fillId="7" borderId="4" xfId="29" applyFont="1" applyFill="1" applyBorder="1" applyAlignment="1" applyProtection="1">
      <protection locked="0" hidden="1"/>
    </xf>
    <xf numFmtId="0" fontId="48" fillId="7" borderId="4" xfId="0" applyFont="1" applyFill="1" applyBorder="1" applyAlignment="1" applyProtection="1">
      <alignment horizontal="left"/>
      <protection locked="0" hidden="1"/>
    </xf>
    <xf numFmtId="0" fontId="48" fillId="7" borderId="4" xfId="0" applyFont="1" applyFill="1" applyBorder="1" applyProtection="1">
      <protection locked="0" hidden="1"/>
    </xf>
    <xf numFmtId="0" fontId="48" fillId="7" borderId="4" xfId="0" applyFont="1" applyFill="1" applyBorder="1" applyAlignment="1" applyProtection="1">
      <alignment horizontal="center"/>
      <protection locked="0" hidden="1"/>
    </xf>
    <xf numFmtId="167" fontId="48" fillId="7" borderId="24" xfId="29" applyFont="1" applyFill="1" applyBorder="1" applyAlignment="1" applyProtection="1">
      <protection locked="0" hidden="1"/>
    </xf>
    <xf numFmtId="167" fontId="55" fillId="7" borderId="4" xfId="29" applyFont="1" applyFill="1" applyBorder="1" applyAlignment="1" applyProtection="1">
      <protection locked="0" hidden="1"/>
    </xf>
    <xf numFmtId="0" fontId="48" fillId="7" borderId="24" xfId="0" applyFont="1" applyFill="1" applyBorder="1" applyAlignment="1" applyProtection="1">
      <alignment horizontal="center"/>
      <protection locked="0" hidden="1"/>
    </xf>
    <xf numFmtId="0" fontId="35" fillId="0" borderId="12" xfId="0" applyFont="1" applyBorder="1" applyAlignment="1" applyProtection="1">
      <alignment horizontal="left"/>
      <protection locked="0" hidden="1"/>
    </xf>
    <xf numFmtId="0" fontId="35" fillId="0" borderId="10" xfId="0" applyFont="1" applyBorder="1" applyAlignment="1" applyProtection="1">
      <alignment horizontal="center"/>
      <protection locked="0" hidden="1"/>
    </xf>
    <xf numFmtId="0" fontId="48" fillId="0" borderId="11" xfId="0" applyFont="1" applyBorder="1" applyAlignment="1" applyProtection="1">
      <alignment horizontal="center"/>
      <protection locked="0" hidden="1"/>
    </xf>
    <xf numFmtId="0" fontId="48" fillId="0" borderId="0" xfId="0" applyFont="1" applyAlignment="1" applyProtection="1">
      <alignment horizontal="left"/>
      <protection locked="0" hidden="1"/>
    </xf>
    <xf numFmtId="43" fontId="48" fillId="0" borderId="0" xfId="0" applyNumberFormat="1" applyFont="1" applyAlignment="1" applyProtection="1">
      <alignment horizontal="left"/>
      <protection locked="0" hidden="1"/>
    </xf>
    <xf numFmtId="0" fontId="55" fillId="0" borderId="0" xfId="0" applyFont="1" applyAlignment="1" applyProtection="1">
      <alignment horizontal="center"/>
      <protection locked="0" hidden="1"/>
    </xf>
    <xf numFmtId="2" fontId="48" fillId="7" borderId="4" xfId="0" applyNumberFormat="1" applyFont="1" applyFill="1" applyBorder="1" applyAlignment="1" applyProtection="1">
      <alignment horizontal="center"/>
      <protection locked="0" hidden="1"/>
    </xf>
    <xf numFmtId="0" fontId="53" fillId="0" borderId="0" xfId="0" applyFont="1" applyProtection="1">
      <protection locked="0" hidden="1"/>
    </xf>
    <xf numFmtId="0" fontId="2" fillId="0" borderId="0" xfId="0" applyFont="1" applyAlignment="1" applyProtection="1">
      <alignment horizontal="left"/>
      <protection locked="0" hidden="1"/>
    </xf>
    <xf numFmtId="0" fontId="2" fillId="0" borderId="0" xfId="0" applyFont="1" applyProtection="1">
      <protection locked="0" hidden="1"/>
    </xf>
    <xf numFmtId="43" fontId="2" fillId="0" borderId="0" xfId="0" applyNumberFormat="1" applyFont="1" applyAlignment="1" applyProtection="1">
      <alignment horizontal="center"/>
      <protection locked="0" hidden="1"/>
    </xf>
    <xf numFmtId="0" fontId="2" fillId="2" borderId="0" xfId="0" applyFont="1" applyFill="1" applyProtection="1">
      <protection locked="0" hidden="1"/>
    </xf>
    <xf numFmtId="0" fontId="2" fillId="2" borderId="0" xfId="0" applyFont="1" applyFill="1" applyAlignment="1" applyProtection="1">
      <alignment horizontal="left"/>
      <protection locked="0" hidden="1"/>
    </xf>
  </cellXfs>
  <cellStyles count="107">
    <cellStyle name="20% - Ênfase1 2" xfId="33"/>
    <cellStyle name="20% - Ênfase2 2" xfId="34"/>
    <cellStyle name="20% - Ênfase3" xfId="105" builtinId="38"/>
    <cellStyle name="20% - Ênfase3 2" xfId="35"/>
    <cellStyle name="20% - Ênfase4 2" xfId="36"/>
    <cellStyle name="20% - Ênfase5 2" xfId="37"/>
    <cellStyle name="20% - Ênfase6 2" xfId="38"/>
    <cellStyle name="40% - Ênfase1 2" xfId="39"/>
    <cellStyle name="40% - Ênfase2 2" xfId="40"/>
    <cellStyle name="40% - Ênfase3 2" xfId="41"/>
    <cellStyle name="40% - Ênfase4 2" xfId="42"/>
    <cellStyle name="40% - Ênfase5 2" xfId="43"/>
    <cellStyle name="40% - Ênfase6 2" xfId="44"/>
    <cellStyle name="60% - Ênfase1 2" xfId="45"/>
    <cellStyle name="60% - Ênfase2 2" xfId="46"/>
    <cellStyle name="60% - Ênfase3" xfId="106" builtinId="40"/>
    <cellStyle name="60% - Ênfase3 2" xfId="47"/>
    <cellStyle name="60% - Ênfase4 2" xfId="48"/>
    <cellStyle name="60% - Ênfase5 2" xfId="49"/>
    <cellStyle name="60% - Ênfase6 2" xfId="50"/>
    <cellStyle name="Bom 2" xfId="51"/>
    <cellStyle name="Cálculo 2" xfId="52"/>
    <cellStyle name="Célula de Verificação 2" xfId="53"/>
    <cellStyle name="Célula Vinculada 2" xfId="54"/>
    <cellStyle name="Ênfase1 2" xfId="55"/>
    <cellStyle name="Ênfase2 2" xfId="56"/>
    <cellStyle name="Ênfase3" xfId="104" builtinId="37"/>
    <cellStyle name="Ênfase3 2" xfId="57"/>
    <cellStyle name="Ênfase4 2" xfId="58"/>
    <cellStyle name="Ênfase5 2" xfId="59"/>
    <cellStyle name="Ênfase6 2" xfId="60"/>
    <cellStyle name="Entrada 2" xfId="61"/>
    <cellStyle name="Hiperlink" xfId="1" builtinId="8"/>
    <cellStyle name="Hiperlink 2" xfId="62"/>
    <cellStyle name="Moeda" xfId="80" builtinId="4"/>
    <cellStyle name="Moeda 2" xfId="2"/>
    <cellStyle name="Moeda 2 2" xfId="81"/>
    <cellStyle name="Moeda 3" xfId="3"/>
    <cellStyle name="Moeda 3 2" xfId="82"/>
    <cellStyle name="Moeda 4" xfId="63"/>
    <cellStyle name="Moeda 5" xfId="103"/>
    <cellStyle name="Normal" xfId="0" builtinId="0"/>
    <cellStyle name="Normal 2" xfId="4"/>
    <cellStyle name="Normal 2 2" xfId="5"/>
    <cellStyle name="Normal 2 2 2" xfId="83"/>
    <cellStyle name="Normal 2 3" xfId="64"/>
    <cellStyle name="Normal 2_SINAPI 2008" xfId="6"/>
    <cellStyle name="Normal 3" xfId="65"/>
    <cellStyle name="Normal 4" xfId="32"/>
    <cellStyle name="Normal_FICHA DE VERIFICAÇÃO PRELIMINAR - Plano R" xfId="66"/>
    <cellStyle name="Nota 2" xfId="67"/>
    <cellStyle name="Porcentagem" xfId="7" builtinId="5"/>
    <cellStyle name="Porcentagem 2" xfId="8"/>
    <cellStyle name="Porcentagem 2 2" xfId="68"/>
    <cellStyle name="Porcentagem 3" xfId="9"/>
    <cellStyle name="Porcentagem 3 2" xfId="84"/>
    <cellStyle name="Saída 2" xfId="69"/>
    <cellStyle name="Separador de milhares 10" xfId="10"/>
    <cellStyle name="Separador de milhares 10 2" xfId="85"/>
    <cellStyle name="Separador de milhares 11" xfId="11"/>
    <cellStyle name="Separador de milhares 11 2" xfId="86"/>
    <cellStyle name="Separador de milhares 12" xfId="12"/>
    <cellStyle name="Separador de milhares 12 2" xfId="87"/>
    <cellStyle name="Separador de milhares 13" xfId="13"/>
    <cellStyle name="Separador de milhares 13 2" xfId="88"/>
    <cellStyle name="Separador de milhares 2" xfId="14"/>
    <cellStyle name="Separador de milhares 2 2" xfId="15"/>
    <cellStyle name="Separador de milhares 2 2 2" xfId="90"/>
    <cellStyle name="Separador de milhares 2 3" xfId="89"/>
    <cellStyle name="Separador de milhares 2_SINAPI 2008" xfId="16"/>
    <cellStyle name="Separador de milhares 3" xfId="17"/>
    <cellStyle name="Separador de milhares 3 2" xfId="91"/>
    <cellStyle name="Separador de milhares 4" xfId="18"/>
    <cellStyle name="Separador de milhares 4 2" xfId="19"/>
    <cellStyle name="Separador de milhares 4 2 2" xfId="93"/>
    <cellStyle name="Separador de milhares 4 3" xfId="20"/>
    <cellStyle name="Separador de milhares 4 3 2" xfId="94"/>
    <cellStyle name="Separador de milhares 4 4" xfId="92"/>
    <cellStyle name="Separador de milhares 5" xfId="21"/>
    <cellStyle name="Separador de milhares 5 2" xfId="95"/>
    <cellStyle name="Separador de milhares 6" xfId="22"/>
    <cellStyle name="Separador de milhares 6 2" xfId="23"/>
    <cellStyle name="Separador de milhares 6 2 2" xfId="97"/>
    <cellStyle name="Separador de milhares 6 3" xfId="96"/>
    <cellStyle name="Separador de milhares 7" xfId="24"/>
    <cellStyle name="Separador de milhares 7 2" xfId="98"/>
    <cellStyle name="Separador de milhares 8" xfId="25"/>
    <cellStyle name="Separador de milhares 8 2" xfId="99"/>
    <cellStyle name="Separador de milhares 9" xfId="26"/>
    <cellStyle name="Separador de milhares 9 2" xfId="100"/>
    <cellStyle name="Texto de Aviso 2" xfId="70"/>
    <cellStyle name="Texto Explicativo 2" xfId="71"/>
    <cellStyle name="Título 1 1" xfId="27"/>
    <cellStyle name="Título 1 1 1" xfId="28"/>
    <cellStyle name="Título 1 2" xfId="72"/>
    <cellStyle name="Título 2 2" xfId="73"/>
    <cellStyle name="Título 3 2" xfId="74"/>
    <cellStyle name="Título 4 2" xfId="75"/>
    <cellStyle name="Título 5" xfId="76"/>
    <cellStyle name="Total 2" xfId="77"/>
    <cellStyle name="Vírgula" xfId="29" builtinId="3"/>
    <cellStyle name="Vírgula 2" xfId="30"/>
    <cellStyle name="Vírgula 2 2" xfId="79"/>
    <cellStyle name="Vírgula 2 3" xfId="101"/>
    <cellStyle name="Vírgula 3" xfId="31"/>
    <cellStyle name="Vírgula 3 2" xfId="102"/>
    <cellStyle name="Vírgula 4" xfId="78"/>
  </cellStyles>
  <dxfs count="1">
    <dxf>
      <font>
        <b val="0"/>
        <condense val="0"/>
        <extend val="0"/>
        <color indexed="4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D05E"/>
      <color rgb="FFD9E18B"/>
      <color rgb="FF5FD44C"/>
      <color rgb="FFF177F1"/>
      <color rgb="FFF5F8EE"/>
      <color rgb="FFE7FFE7"/>
      <color rgb="FF008A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754380</xdr:colOff>
      <xdr:row>68</xdr:row>
      <xdr:rowOff>91440</xdr:rowOff>
    </xdr:from>
    <xdr:to>
      <xdr:col>13</xdr:col>
      <xdr:colOff>289560</xdr:colOff>
      <xdr:row>93</xdr:row>
      <xdr:rowOff>152400</xdr:rowOff>
    </xdr:to>
    <xdr:pic>
      <xdr:nvPicPr>
        <xdr:cNvPr id="57356" name="Imagem 1">
          <a:extLst>
            <a:ext uri="{FF2B5EF4-FFF2-40B4-BE49-F238E27FC236}">
              <a16:creationId xmlns:a16="http://schemas.microsoft.com/office/drawing/2014/main" id="{00000000-0008-0000-0100-00000CE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940" y="11681460"/>
          <a:ext cx="7459980" cy="425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0</xdr:row>
      <xdr:rowOff>144780</xdr:rowOff>
    </xdr:from>
    <xdr:to>
      <xdr:col>0</xdr:col>
      <xdr:colOff>1623060</xdr:colOff>
      <xdr:row>4</xdr:row>
      <xdr:rowOff>60960</xdr:rowOff>
    </xdr:to>
    <xdr:pic>
      <xdr:nvPicPr>
        <xdr:cNvPr id="57357" name="Imagem 1">
          <a:extLst>
            <a:ext uri="{FF2B5EF4-FFF2-40B4-BE49-F238E27FC236}">
              <a16:creationId xmlns:a16="http://schemas.microsoft.com/office/drawing/2014/main" id="{00000000-0008-0000-0100-00000DE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44780"/>
          <a:ext cx="157734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297180</xdr:colOff>
      <xdr:row>0</xdr:row>
      <xdr:rowOff>114300</xdr:rowOff>
    </xdr:from>
    <xdr:to>
      <xdr:col>7</xdr:col>
      <xdr:colOff>7620</xdr:colOff>
      <xdr:row>4</xdr:row>
      <xdr:rowOff>22860</xdr:rowOff>
    </xdr:to>
    <xdr:pic>
      <xdr:nvPicPr>
        <xdr:cNvPr id="57358" name="Imagem 2">
          <a:extLst>
            <a:ext uri="{FF2B5EF4-FFF2-40B4-BE49-F238E27FC236}">
              <a16:creationId xmlns:a16="http://schemas.microsoft.com/office/drawing/2014/main" id="{00000000-0008-0000-0100-00000EE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8220" y="114300"/>
          <a:ext cx="208788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129540</xdr:colOff>
      <xdr:row>20</xdr:row>
      <xdr:rowOff>30480</xdr:rowOff>
    </xdr:from>
    <xdr:to>
      <xdr:col>8</xdr:col>
      <xdr:colOff>396240</xdr:colOff>
      <xdr:row>26</xdr:row>
      <xdr:rowOff>99060</xdr:rowOff>
    </xdr:to>
    <xdr:pic>
      <xdr:nvPicPr>
        <xdr:cNvPr id="57359" name="Imagem 1">
          <a:extLst>
            <a:ext uri="{FF2B5EF4-FFF2-40B4-BE49-F238E27FC236}">
              <a16:creationId xmlns:a16="http://schemas.microsoft.com/office/drawing/2014/main" id="{00000000-0008-0000-0100-00000FE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9" t="41566" r="3471" b="32703"/>
        <a:stretch>
          <a:fillRect/>
        </a:stretch>
      </xdr:blipFill>
      <xdr:spPr bwMode="auto">
        <a:xfrm>
          <a:off x="6743700" y="3444240"/>
          <a:ext cx="5143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1011357</xdr:colOff>
      <xdr:row>5</xdr:row>
      <xdr:rowOff>142875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2EF5742-E7F9-4A61-8763-CDA4C96E7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3357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930089</xdr:colOff>
      <xdr:row>0</xdr:row>
      <xdr:rowOff>123264</xdr:rowOff>
    </xdr:from>
    <xdr:to>
      <xdr:col>7</xdr:col>
      <xdr:colOff>717177</xdr:colOff>
      <xdr:row>5</xdr:row>
      <xdr:rowOff>89646</xdr:rowOff>
    </xdr:to>
    <xdr:pic>
      <xdr:nvPicPr>
        <xdr:cNvPr id="5" name="Imagem 4" descr="https://upload.wikimedia.org/wikipedia/commons/b/b2/Bras%C3%A3o_de_Luzerna.png">
          <a:extLst>
            <a:ext uri="{FF2B5EF4-FFF2-40B4-BE49-F238E27FC236}">
              <a16:creationId xmlns:a16="http://schemas.microsoft.com/office/drawing/2014/main" id="{1E4DBDA0-743C-4C0B-971D-540FE4E7455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2765" y="123264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1011358</xdr:colOff>
      <xdr:row>5</xdr:row>
      <xdr:rowOff>142875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6B1179C-268B-44C2-98A8-C66F682D8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3358" cy="10477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114300</xdr:rowOff>
    </xdr:from>
    <xdr:to>
      <xdr:col>6</xdr:col>
      <xdr:colOff>941294</xdr:colOff>
      <xdr:row>5</xdr:row>
      <xdr:rowOff>72278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979AC58B-57B2-47BF-95F2-361024ABF8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14300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57151</xdr:rowOff>
    </xdr:from>
    <xdr:to>
      <xdr:col>2</xdr:col>
      <xdr:colOff>976477</xdr:colOff>
      <xdr:row>5</xdr:row>
      <xdr:rowOff>156882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B8C2DE9-19F9-4723-B8E7-300F22935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1"/>
          <a:ext cx="1738477" cy="996202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784411</xdr:colOff>
      <xdr:row>1</xdr:row>
      <xdr:rowOff>0</xdr:rowOff>
    </xdr:from>
    <xdr:to>
      <xdr:col>7</xdr:col>
      <xdr:colOff>571499</xdr:colOff>
      <xdr:row>5</xdr:row>
      <xdr:rowOff>145676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E0619390-E37A-421D-B62A-415473219E2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2558" y="179294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76199</xdr:rowOff>
    </xdr:from>
    <xdr:to>
      <xdr:col>2</xdr:col>
      <xdr:colOff>904123</xdr:colOff>
      <xdr:row>5</xdr:row>
      <xdr:rowOff>134469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676AE4B-7FF9-4CA3-A0AA-9CEE08047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199"/>
          <a:ext cx="1666123" cy="954741"/>
        </a:xfrm>
        <a:prstGeom prst="rect">
          <a:avLst/>
        </a:prstGeom>
      </xdr:spPr>
    </xdr:pic>
    <xdr:clientData/>
  </xdr:twoCellAnchor>
  <xdr:twoCellAnchor editAs="oneCell">
    <xdr:from>
      <xdr:col>6</xdr:col>
      <xdr:colOff>918883</xdr:colOff>
      <xdr:row>0</xdr:row>
      <xdr:rowOff>145676</xdr:rowOff>
    </xdr:from>
    <xdr:to>
      <xdr:col>7</xdr:col>
      <xdr:colOff>616324</xdr:colOff>
      <xdr:row>5</xdr:row>
      <xdr:rowOff>112058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6A4ADB8F-71D3-4E3A-A22F-D25B3279402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7030" y="145676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33617</xdr:rowOff>
    </xdr:from>
    <xdr:to>
      <xdr:col>2</xdr:col>
      <xdr:colOff>963706</xdr:colOff>
      <xdr:row>5</xdr:row>
      <xdr:rowOff>126031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E1FB76A-F185-4FBF-A99C-10AD23F51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17"/>
          <a:ext cx="1725706" cy="988885"/>
        </a:xfrm>
        <a:prstGeom prst="rect">
          <a:avLst/>
        </a:prstGeom>
      </xdr:spPr>
    </xdr:pic>
    <xdr:clientData/>
  </xdr:twoCellAnchor>
  <xdr:twoCellAnchor editAs="oneCell">
    <xdr:from>
      <xdr:col>6</xdr:col>
      <xdr:colOff>1109382</xdr:colOff>
      <xdr:row>0</xdr:row>
      <xdr:rowOff>145676</xdr:rowOff>
    </xdr:from>
    <xdr:to>
      <xdr:col>7</xdr:col>
      <xdr:colOff>806823</xdr:colOff>
      <xdr:row>5</xdr:row>
      <xdr:rowOff>112058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343CF414-5F3B-4607-93D7-AE2E52BBB1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7529" y="145676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866775</xdr:colOff>
      <xdr:row>5</xdr:row>
      <xdr:rowOff>57452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7E51B1-1BB6-45C1-BAD7-FA377185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28775" cy="962327"/>
        </a:xfrm>
        <a:prstGeom prst="rect">
          <a:avLst/>
        </a:prstGeom>
      </xdr:spPr>
    </xdr:pic>
    <xdr:clientData/>
  </xdr:twoCellAnchor>
  <xdr:twoCellAnchor editAs="oneCell">
    <xdr:from>
      <xdr:col>6</xdr:col>
      <xdr:colOff>895350</xdr:colOff>
      <xdr:row>0</xdr:row>
      <xdr:rowOff>142875</xdr:rowOff>
    </xdr:from>
    <xdr:to>
      <xdr:col>7</xdr:col>
      <xdr:colOff>684119</xdr:colOff>
      <xdr:row>5</xdr:row>
      <xdr:rowOff>100853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BE99FF68-563F-49D7-8437-221114DAE01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42875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364434</xdr:colOff>
      <xdr:row>5</xdr:row>
      <xdr:rowOff>144920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326C790-9AB9-46EB-937C-A103F1230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6217" cy="973181"/>
        </a:xfrm>
        <a:prstGeom prst="rect">
          <a:avLst/>
        </a:prstGeom>
      </xdr:spPr>
    </xdr:pic>
    <xdr:clientData/>
  </xdr:twoCellAnchor>
  <xdr:twoCellAnchor editAs="oneCell">
    <xdr:from>
      <xdr:col>5</xdr:col>
      <xdr:colOff>728869</xdr:colOff>
      <xdr:row>0</xdr:row>
      <xdr:rowOff>66262</xdr:rowOff>
    </xdr:from>
    <xdr:to>
      <xdr:col>6</xdr:col>
      <xdr:colOff>725946</xdr:colOff>
      <xdr:row>5</xdr:row>
      <xdr:rowOff>100854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3A0A0976-B14C-434F-8604-2A08029599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0565" y="66262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1728043</xdr:colOff>
      <xdr:row>5</xdr:row>
      <xdr:rowOff>45310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A0BF0D3-DC42-44F6-A81A-F9041304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28043" cy="941781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0</xdr:row>
      <xdr:rowOff>168088</xdr:rowOff>
    </xdr:from>
    <xdr:to>
      <xdr:col>1</xdr:col>
      <xdr:colOff>1086970</xdr:colOff>
      <xdr:row>5</xdr:row>
      <xdr:rowOff>134470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70409451-04CA-4A9C-A88A-717A2F84CF2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1382" y="168088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360687</xdr:colOff>
      <xdr:row>5</xdr:row>
      <xdr:rowOff>142875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677269F-B443-4DA3-A8B0-50890E31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9912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123264</xdr:colOff>
      <xdr:row>0</xdr:row>
      <xdr:rowOff>112058</xdr:rowOff>
    </xdr:from>
    <xdr:to>
      <xdr:col>10</xdr:col>
      <xdr:colOff>1064558</xdr:colOff>
      <xdr:row>5</xdr:row>
      <xdr:rowOff>78440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FB6A51E1-A7C5-471E-BC2C-BBF697BC3B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5558" y="112058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0</xdr:row>
      <xdr:rowOff>144780</xdr:rowOff>
    </xdr:from>
    <xdr:to>
      <xdr:col>0</xdr:col>
      <xdr:colOff>1623060</xdr:colOff>
      <xdr:row>4</xdr:row>
      <xdr:rowOff>60960</xdr:rowOff>
    </xdr:to>
    <xdr:pic>
      <xdr:nvPicPr>
        <xdr:cNvPr id="58377" name="Imagem 1">
          <a:extLst>
            <a:ext uri="{FF2B5EF4-FFF2-40B4-BE49-F238E27FC236}">
              <a16:creationId xmlns:a16="http://schemas.microsoft.com/office/drawing/2014/main" id="{00000000-0008-0000-0200-000009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44780"/>
          <a:ext cx="157734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251460</xdr:colOff>
      <xdr:row>0</xdr:row>
      <xdr:rowOff>76200</xdr:rowOff>
    </xdr:from>
    <xdr:to>
      <xdr:col>6</xdr:col>
      <xdr:colOff>754380</xdr:colOff>
      <xdr:row>3</xdr:row>
      <xdr:rowOff>144780</xdr:rowOff>
    </xdr:to>
    <xdr:pic>
      <xdr:nvPicPr>
        <xdr:cNvPr id="58378" name="Imagem 2">
          <a:extLst>
            <a:ext uri="{FF2B5EF4-FFF2-40B4-BE49-F238E27FC236}">
              <a16:creationId xmlns:a16="http://schemas.microsoft.com/office/drawing/2014/main" id="{00000000-0008-0000-0200-00000A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76200"/>
          <a:ext cx="208788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205740</xdr:colOff>
      <xdr:row>28</xdr:row>
      <xdr:rowOff>167640</xdr:rowOff>
    </xdr:from>
    <xdr:to>
      <xdr:col>9</xdr:col>
      <xdr:colOff>594360</xdr:colOff>
      <xdr:row>35</xdr:row>
      <xdr:rowOff>45720</xdr:rowOff>
    </xdr:to>
    <xdr:pic>
      <xdr:nvPicPr>
        <xdr:cNvPr id="58379" name="Imagem 1">
          <a:extLst>
            <a:ext uri="{FF2B5EF4-FFF2-40B4-BE49-F238E27FC236}">
              <a16:creationId xmlns:a16="http://schemas.microsoft.com/office/drawing/2014/main" id="{00000000-0008-0000-0200-00000BE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9" t="41566" r="3471" b="32703"/>
        <a:stretch>
          <a:fillRect/>
        </a:stretch>
      </xdr:blipFill>
      <xdr:spPr bwMode="auto">
        <a:xfrm>
          <a:off x="7734300" y="5074920"/>
          <a:ext cx="514350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14</xdr:col>
      <xdr:colOff>600075</xdr:colOff>
      <xdr:row>7</xdr:row>
      <xdr:rowOff>9525</xdr:rowOff>
    </xdr:to>
    <xdr:sp macro="" textlink="">
      <xdr:nvSpPr>
        <xdr:cNvPr id="2" name="Caixa de Texto 46">
          <a:extLst>
            <a:ext uri="{FF2B5EF4-FFF2-40B4-BE49-F238E27FC236}">
              <a16:creationId xmlns:a16="http://schemas.microsoft.com/office/drawing/2014/main" id="{D73EFEB1-438A-49E2-886D-0D221D29D28D}"/>
            </a:ext>
          </a:extLst>
        </xdr:cNvPr>
        <xdr:cNvSpPr txBox="1">
          <a:spLocks/>
        </xdr:cNvSpPr>
      </xdr:nvSpPr>
      <xdr:spPr>
        <a:xfrm>
          <a:off x="0" y="323850"/>
          <a:ext cx="9134475" cy="81915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</a:pPr>
          <a:r>
            <a:rPr lang="pt-PT" sz="1400" b="1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 MT"/>
            </a:rPr>
            <a:t>REPÚBLICA FEDERATIVA DO BRASIL</a:t>
          </a:r>
          <a:endParaRPr lang="pt-BR" sz="1400">
            <a:effectLst/>
            <a:latin typeface="Arial MT"/>
            <a:ea typeface="Arial MT"/>
            <a:cs typeface="Arial MT"/>
          </a:endParaRPr>
        </a:p>
        <a:p>
          <a:pPr algn="ctr">
            <a:lnSpc>
              <a:spcPct val="115000"/>
            </a:lnSpc>
          </a:pPr>
          <a:r>
            <a:rPr lang="pt-PT" sz="1400" b="1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 MT"/>
            </a:rPr>
            <a:t>GOVERNO DO ESTADO DE SANTA CATARINA</a:t>
          </a:r>
          <a:endParaRPr lang="pt-BR" sz="1400">
            <a:effectLst/>
            <a:latin typeface="Arial MT"/>
            <a:ea typeface="Arial MT"/>
            <a:cs typeface="Arial MT"/>
          </a:endParaRPr>
        </a:p>
        <a:p>
          <a:pPr algn="ctr"/>
          <a:r>
            <a:rPr lang="pt-PT" sz="1400" b="1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 MT"/>
            </a:rPr>
            <a:t>MUNICÍPIO DE LUZERNA</a:t>
          </a:r>
          <a:endParaRPr lang="pt-BR" sz="1400">
            <a:effectLst/>
            <a:latin typeface="Arial MT"/>
            <a:ea typeface="Arial MT"/>
            <a:cs typeface="Arial MT"/>
          </a:endParaRPr>
        </a:p>
        <a:p>
          <a:pPr algn="ctr"/>
          <a:r>
            <a:rPr lang="pt-PT" sz="2800" b="1">
              <a:effectLst/>
              <a:latin typeface="Arial MT"/>
              <a:ea typeface="Arial MT"/>
              <a:cs typeface="Arial MT"/>
            </a:rPr>
            <a:t> </a:t>
          </a:r>
          <a:endParaRPr lang="pt-BR" sz="1400">
            <a:effectLst/>
            <a:latin typeface="Arial MT"/>
            <a:ea typeface="Arial MT"/>
            <a:cs typeface="Arial MT"/>
          </a:endParaRPr>
        </a:p>
      </xdr:txBody>
    </xdr:sp>
    <xdr:clientData/>
  </xdr:twoCellAnchor>
  <xdr:twoCellAnchor>
    <xdr:from>
      <xdr:col>1</xdr:col>
      <xdr:colOff>428626</xdr:colOff>
      <xdr:row>12</xdr:row>
      <xdr:rowOff>133350</xdr:rowOff>
    </xdr:from>
    <xdr:to>
      <xdr:col>11</xdr:col>
      <xdr:colOff>152400</xdr:colOff>
      <xdr:row>18</xdr:row>
      <xdr:rowOff>7620</xdr:rowOff>
    </xdr:to>
    <xdr:sp macro="" textlink="">
      <xdr:nvSpPr>
        <xdr:cNvPr id="3" name="Caixa de Texto 46">
          <a:extLst>
            <a:ext uri="{FF2B5EF4-FFF2-40B4-BE49-F238E27FC236}">
              <a16:creationId xmlns:a16="http://schemas.microsoft.com/office/drawing/2014/main" id="{D1724A12-E3D1-4128-9128-4D413A01281B}"/>
            </a:ext>
          </a:extLst>
        </xdr:cNvPr>
        <xdr:cNvSpPr txBox="1">
          <a:spLocks/>
        </xdr:cNvSpPr>
      </xdr:nvSpPr>
      <xdr:spPr>
        <a:xfrm>
          <a:off x="1038226" y="2076450"/>
          <a:ext cx="5819774" cy="84582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endParaRPr lang="pt-BR" sz="1100">
            <a:effectLst/>
            <a:latin typeface="Arial MT"/>
            <a:ea typeface="Arial MT"/>
            <a:cs typeface="Arial MT"/>
          </a:endParaRPr>
        </a:p>
      </xdr:txBody>
    </xdr:sp>
    <xdr:clientData/>
  </xdr:twoCellAnchor>
  <xdr:twoCellAnchor editAs="oneCell">
    <xdr:from>
      <xdr:col>0</xdr:col>
      <xdr:colOff>228600</xdr:colOff>
      <xdr:row>30</xdr:row>
      <xdr:rowOff>95250</xdr:rowOff>
    </xdr:from>
    <xdr:to>
      <xdr:col>2</xdr:col>
      <xdr:colOff>537845</xdr:colOff>
      <xdr:row>35</xdr:row>
      <xdr:rowOff>53340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328AF0A-C3C7-492A-A06F-A352AB36AA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29075"/>
          <a:ext cx="1528445" cy="76771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11</xdr:row>
      <xdr:rowOff>9524</xdr:rowOff>
    </xdr:from>
    <xdr:to>
      <xdr:col>15</xdr:col>
      <xdr:colOff>0</xdr:colOff>
      <xdr:row>29</xdr:row>
      <xdr:rowOff>95250</xdr:rowOff>
    </xdr:to>
    <xdr:sp macro="" textlink="">
      <xdr:nvSpPr>
        <xdr:cNvPr id="6" name="Caixa de Texto 8">
          <a:extLst>
            <a:ext uri="{FF2B5EF4-FFF2-40B4-BE49-F238E27FC236}">
              <a16:creationId xmlns:a16="http://schemas.microsoft.com/office/drawing/2014/main" id="{5EB923DC-9815-42C2-944E-9579B14EC634}"/>
            </a:ext>
          </a:extLst>
        </xdr:cNvPr>
        <xdr:cNvSpPr txBox="1">
          <a:spLocks/>
        </xdr:cNvSpPr>
      </xdr:nvSpPr>
      <xdr:spPr>
        <a:xfrm>
          <a:off x="0" y="1790699"/>
          <a:ext cx="9144000" cy="2028826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pt-PT" sz="3600" b="1" i="0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" panose="020B0604020202020204" pitchFamily="34" charset="0"/>
            </a:rPr>
            <a:t>PROJETO BÁSICO</a:t>
          </a:r>
          <a:endParaRPr lang="pt-BR" sz="1200">
            <a:effectLst/>
            <a:latin typeface="Arial" panose="020B0604020202020204" pitchFamily="34" charset="0"/>
            <a:ea typeface="Arial MT"/>
            <a:cs typeface="Arial" panose="020B0604020202020204" pitchFamily="34" charset="0"/>
          </a:endParaRPr>
        </a:p>
        <a:p>
          <a:pPr algn="ctr"/>
          <a:r>
            <a:rPr lang="pt-PT" sz="3200" b="1" i="0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" panose="020B0604020202020204" pitchFamily="34" charset="0"/>
            </a:rPr>
            <a:t>GERENECIAMENTO DE RESÍDUOS SÓLDIOS</a:t>
          </a:r>
        </a:p>
        <a:p>
          <a:pPr algn="ctr"/>
          <a:endParaRPr lang="pt-PT" sz="3200" b="1" i="0">
            <a:solidFill>
              <a:srgbClr val="000000"/>
            </a:solidFill>
            <a:effectLst/>
            <a:latin typeface="Arial" panose="020B0604020202020204" pitchFamily="34" charset="0"/>
            <a:ea typeface="Arial MT"/>
            <a:cs typeface="Arial" panose="020B0604020202020204" pitchFamily="34" charset="0"/>
          </a:endParaRPr>
        </a:p>
        <a:p>
          <a:pPr algn="ctr"/>
          <a:r>
            <a:rPr lang="pt-PT" sz="3200" b="1" i="0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" panose="020B0604020202020204" pitchFamily="34" charset="0"/>
            </a:rPr>
            <a:t>PLANILHA</a:t>
          </a:r>
          <a:r>
            <a:rPr lang="pt-PT" sz="3200" b="1" i="0" baseline="0">
              <a:solidFill>
                <a:srgbClr val="000000"/>
              </a:solidFill>
              <a:effectLst/>
              <a:latin typeface="Arial" panose="020B0604020202020204" pitchFamily="34" charset="0"/>
              <a:ea typeface="Arial MT"/>
              <a:cs typeface="Arial" panose="020B0604020202020204" pitchFamily="34" charset="0"/>
            </a:rPr>
            <a:t> ORÇAMENTÁRIA</a:t>
          </a:r>
          <a:endParaRPr lang="pt-PT" sz="3200" b="1" i="0">
            <a:solidFill>
              <a:srgbClr val="000000"/>
            </a:solidFill>
            <a:effectLst/>
            <a:latin typeface="Arial" panose="020B0604020202020204" pitchFamily="34" charset="0"/>
            <a:ea typeface="Arial MT"/>
            <a:cs typeface="Arial" panose="020B0604020202020204" pitchFamily="34" charset="0"/>
          </a:endParaRPr>
        </a:p>
      </xdr:txBody>
    </xdr:sp>
    <xdr:clientData/>
  </xdr:twoCellAnchor>
  <xdr:oneCellAnchor>
    <xdr:from>
      <xdr:col>12</xdr:col>
      <xdr:colOff>514350</xdr:colOff>
      <xdr:row>31</xdr:row>
      <xdr:rowOff>9525</xdr:rowOff>
    </xdr:from>
    <xdr:ext cx="941294" cy="862853"/>
    <xdr:pic>
      <xdr:nvPicPr>
        <xdr:cNvPr id="5" name="Imagem 6" descr="https://upload.wikimedia.org/wikipedia/commons/b/b2/Bras%C3%A3o_de_Luzerna.png">
          <a:extLst>
            <a:ext uri="{FF2B5EF4-FFF2-40B4-BE49-F238E27FC236}">
              <a16:creationId xmlns:a16="http://schemas.microsoft.com/office/drawing/2014/main" id="{B33BA870-01AD-40EE-8999-AA43CDE9F9C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4105275"/>
          <a:ext cx="941294" cy="86285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22411</xdr:rowOff>
    </xdr:from>
    <xdr:to>
      <xdr:col>0</xdr:col>
      <xdr:colOff>1535207</xdr:colOff>
      <xdr:row>5</xdr:row>
      <xdr:rowOff>145042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639FC21-9EE6-4B82-B1C1-A8D94555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411"/>
          <a:ext cx="1535206" cy="907043"/>
        </a:xfrm>
        <a:prstGeom prst="rect">
          <a:avLst/>
        </a:prstGeom>
      </xdr:spPr>
    </xdr:pic>
    <xdr:clientData/>
  </xdr:twoCellAnchor>
  <xdr:twoCellAnchor editAs="oneCell">
    <xdr:from>
      <xdr:col>3</xdr:col>
      <xdr:colOff>1042147</xdr:colOff>
      <xdr:row>0</xdr:row>
      <xdr:rowOff>67235</xdr:rowOff>
    </xdr:from>
    <xdr:to>
      <xdr:col>4</xdr:col>
      <xdr:colOff>896470</xdr:colOff>
      <xdr:row>5</xdr:row>
      <xdr:rowOff>145676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FC518F71-191A-40F0-AF06-D316CF9C77F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735" y="67235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0</xdr:rowOff>
    </xdr:from>
    <xdr:to>
      <xdr:col>1</xdr:col>
      <xdr:colOff>1064558</xdr:colOff>
      <xdr:row>6</xdr:row>
      <xdr:rowOff>5590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62E5A3-474D-4FD2-808A-EBBC112D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0"/>
          <a:ext cx="1613647" cy="960010"/>
        </a:xfrm>
        <a:prstGeom prst="rect">
          <a:avLst/>
        </a:prstGeom>
      </xdr:spPr>
    </xdr:pic>
    <xdr:clientData/>
  </xdr:twoCellAnchor>
  <xdr:twoCellAnchor editAs="oneCell">
    <xdr:from>
      <xdr:col>15</xdr:col>
      <xdr:colOff>235323</xdr:colOff>
      <xdr:row>0</xdr:row>
      <xdr:rowOff>0</xdr:rowOff>
    </xdr:from>
    <xdr:to>
      <xdr:col>15</xdr:col>
      <xdr:colOff>1176617</xdr:colOff>
      <xdr:row>5</xdr:row>
      <xdr:rowOff>78441</xdr:rowOff>
    </xdr:to>
    <xdr:pic>
      <xdr:nvPicPr>
        <xdr:cNvPr id="4" name="Imagem 3" descr="https://upload.wikimedia.org/wikipedia/commons/b/b2/Bras%C3%A3o_de_Luzerna.png">
          <a:extLst>
            <a:ext uri="{FF2B5EF4-FFF2-40B4-BE49-F238E27FC236}">
              <a16:creationId xmlns:a16="http://schemas.microsoft.com/office/drawing/2014/main" id="{F1A26555-377F-4589-866B-33A524285EA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47" y="0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1557193</xdr:colOff>
      <xdr:row>5</xdr:row>
      <xdr:rowOff>134470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240FB96-9B16-42B7-9A14-88DADACD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55244" cy="918882"/>
        </a:xfrm>
        <a:prstGeom prst="rect">
          <a:avLst/>
        </a:prstGeom>
      </xdr:spPr>
    </xdr:pic>
    <xdr:clientData/>
  </xdr:twoCellAnchor>
  <xdr:twoCellAnchor editAs="oneCell">
    <xdr:from>
      <xdr:col>1</xdr:col>
      <xdr:colOff>2004391</xdr:colOff>
      <xdr:row>0</xdr:row>
      <xdr:rowOff>149087</xdr:rowOff>
    </xdr:from>
    <xdr:to>
      <xdr:col>2</xdr:col>
      <xdr:colOff>601707</xdr:colOff>
      <xdr:row>6</xdr:row>
      <xdr:rowOff>18027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AE451AA2-70C3-4F93-8AA0-8D9FD4D9466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4391" y="149087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660124</xdr:colOff>
      <xdr:row>5</xdr:row>
      <xdr:rowOff>100033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B5DA85-DC91-4284-A060-726E8CAAD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09725" cy="951071"/>
        </a:xfrm>
        <a:prstGeom prst="rect">
          <a:avLst/>
        </a:prstGeom>
      </xdr:spPr>
    </xdr:pic>
    <xdr:clientData/>
  </xdr:twoCellAnchor>
  <xdr:twoCellAnchor editAs="oneCell">
    <xdr:from>
      <xdr:col>4</xdr:col>
      <xdr:colOff>505239</xdr:colOff>
      <xdr:row>0</xdr:row>
      <xdr:rowOff>140805</xdr:rowOff>
    </xdr:from>
    <xdr:to>
      <xdr:col>4</xdr:col>
      <xdr:colOff>1446533</xdr:colOff>
      <xdr:row>5</xdr:row>
      <xdr:rowOff>133984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B2C39D65-E253-4B57-88FF-F4C138A2C7A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326" y="140805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19051</xdr:colOff>
      <xdr:row>0</xdr:row>
      <xdr:rowOff>38099</xdr:rowOff>
    </xdr:from>
    <xdr:to>
      <xdr:col>2</xdr:col>
      <xdr:colOff>1581151</xdr:colOff>
      <xdr:row>5</xdr:row>
      <xdr:rowOff>151407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2EAD2C2-B9A5-4832-B2B9-2BDD2EB4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38099"/>
          <a:ext cx="1562100" cy="922933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0</xdr:row>
      <xdr:rowOff>104775</xdr:rowOff>
    </xdr:from>
    <xdr:to>
      <xdr:col>9</xdr:col>
      <xdr:colOff>541244</xdr:colOff>
      <xdr:row>5</xdr:row>
      <xdr:rowOff>158003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182FF406-FDF2-4CF1-BE68-4688B128B7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0" y="104775"/>
          <a:ext cx="941294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885825</xdr:colOff>
      <xdr:row>4</xdr:row>
      <xdr:rowOff>181326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E8996A5-E1E8-489A-A5FD-4FFD0FCD5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47825" cy="943326"/>
        </a:xfrm>
        <a:prstGeom prst="rect">
          <a:avLst/>
        </a:prstGeom>
      </xdr:spPr>
    </xdr:pic>
    <xdr:clientData/>
  </xdr:twoCellAnchor>
  <xdr:twoCellAnchor editAs="oneCell">
    <xdr:from>
      <xdr:col>6</xdr:col>
      <xdr:colOff>862853</xdr:colOff>
      <xdr:row>0</xdr:row>
      <xdr:rowOff>179295</xdr:rowOff>
    </xdr:from>
    <xdr:to>
      <xdr:col>7</xdr:col>
      <xdr:colOff>605680</xdr:colOff>
      <xdr:row>5</xdr:row>
      <xdr:rowOff>89648</xdr:rowOff>
    </xdr:to>
    <xdr:pic>
      <xdr:nvPicPr>
        <xdr:cNvPr id="3" name="Imagem 2" descr="https://upload.wikimedia.org/wikipedia/commons/b/b2/Bras%C3%A3o_de_Luzerna.png">
          <a:extLst>
            <a:ext uri="{FF2B5EF4-FFF2-40B4-BE49-F238E27FC236}">
              <a16:creationId xmlns:a16="http://schemas.microsoft.com/office/drawing/2014/main" id="{5896C232-951C-4879-833E-CB8027CD77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5529" y="179295"/>
          <a:ext cx="897033" cy="86285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Compartilhados/Luzer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CRONO"/>
      <sheetName val="Luzerna"/>
    </sheetNames>
    <sheetDataSet>
      <sheetData sheetId="0"/>
      <sheetData sheetId="1" refreshError="1"/>
      <sheetData sheetId="2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Facet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Facet">
      <a:majorFont>
        <a:latin typeface="Trebuchet MS" panose="020B0603020202020204"/>
        <a:ea typeface=""/>
        <a:cs typeface=""/>
        <a:font script="Jpan" typeface="メイリオ"/>
        <a:font script="Hang" typeface="맑은 고딕"/>
        <a:font script="Hans" typeface="方正姚体"/>
        <a:font script="Hant" typeface="微軟正黑體"/>
        <a:font script="Arab" typeface="Tahoma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rebuchet MS" panose="020B0603020202020204"/>
        <a:ea typeface=""/>
        <a:cs typeface=""/>
        <a:font script="Jpan" typeface="メイリオ"/>
        <a:font script="Hang" typeface="HY그래픽M"/>
        <a:font script="Hans" typeface="华文新魏"/>
        <a:font script="Hant" typeface="微軟正黑體"/>
        <a:font script="Arab" typeface="Tahoma"/>
        <a:font script="Hebr" typeface="Gisha"/>
        <a:font script="Thai" typeface="Iris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Facet">
      <a:fillStyleLst>
        <a:solidFill>
          <a:schemeClr val="phClr"/>
        </a:solidFill>
        <a:gradFill rotWithShape="1">
          <a:gsLst>
            <a:gs pos="0">
              <a:schemeClr val="phClr">
                <a:tint val="65000"/>
                <a:lumMod val="110000"/>
              </a:schemeClr>
            </a:gs>
            <a:gs pos="88000">
              <a:schemeClr val="phClr">
                <a:tint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0000"/>
              </a:schemeClr>
            </a:gs>
            <a:gs pos="78000">
              <a:schemeClr val="phClr">
                <a:shade val="94000"/>
                <a:lumMod val="94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50800" dist="381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04000"/>
              </a:schemeClr>
            </a:gs>
            <a:gs pos="94000">
              <a:schemeClr val="phClr">
                <a:shade val="96000"/>
                <a:lumMod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4000"/>
                <a:lumMod val="9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Facet" id="{C0C680CD-088A-49FC-A102-D699147F32B2}" vid="{CFBC31BA-B70F-4F30-BCAA-4F3011E16C4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1:Y33"/>
  <sheetViews>
    <sheetView showGridLines="0" zoomScaleNormal="100" zoomScaleSheetLayoutView="100" workbookViewId="0">
      <selection activeCell="E21" sqref="E21"/>
    </sheetView>
  </sheetViews>
  <sheetFormatPr defaultColWidth="11.42578125" defaultRowHeight="12.75" x14ac:dyDescent="0.2"/>
  <cols>
    <col min="1" max="1" width="5.42578125" style="2" customWidth="1"/>
    <col min="2" max="2" width="14.140625" style="1" bestFit="1" customWidth="1"/>
    <col min="3" max="3" width="40.42578125" style="2" customWidth="1"/>
    <col min="4" max="4" width="22.140625" style="1" bestFit="1" customWidth="1"/>
    <col min="5" max="5" width="12.7109375" style="1" customWidth="1"/>
    <col min="6" max="6" width="13.140625" style="1" bestFit="1" customWidth="1"/>
    <col min="7" max="7" width="10.42578125" style="1" bestFit="1" customWidth="1"/>
    <col min="8" max="8" width="7.28515625" style="1" bestFit="1" customWidth="1"/>
    <col min="9" max="9" width="6.7109375" style="1" customWidth="1"/>
    <col min="10" max="10" width="13.7109375" style="1" bestFit="1" customWidth="1"/>
    <col min="11" max="11" width="14.140625" style="1" bestFit="1" customWidth="1"/>
    <col min="12" max="12" width="11.42578125" style="2"/>
    <col min="13" max="13" width="12.7109375" style="2" customWidth="1"/>
    <col min="14" max="16384" width="11.42578125" style="2"/>
  </cols>
  <sheetData>
    <row r="1" spans="2:25" s="5" customFormat="1" ht="13.5" thickBot="1" x14ac:dyDescent="0.25">
      <c r="B1" s="17"/>
      <c r="C1" s="18"/>
      <c r="D1" s="19"/>
      <c r="E1" s="19"/>
      <c r="F1" s="19"/>
      <c r="G1" s="19"/>
      <c r="H1" s="19"/>
      <c r="I1" s="19"/>
      <c r="J1" s="19"/>
      <c r="K1" s="19"/>
    </row>
    <row r="2" spans="2:25" s="5" customFormat="1" ht="64.5" thickBot="1" x14ac:dyDescent="0.25">
      <c r="B2" s="14" t="s">
        <v>150</v>
      </c>
      <c r="C2" s="12" t="s">
        <v>151</v>
      </c>
      <c r="D2" s="12" t="s">
        <v>0</v>
      </c>
      <c r="E2" s="12" t="s">
        <v>187</v>
      </c>
      <c r="F2" s="12" t="s">
        <v>188</v>
      </c>
      <c r="G2" s="12" t="s">
        <v>173</v>
      </c>
      <c r="H2" s="12" t="s">
        <v>132</v>
      </c>
      <c r="I2" s="12" t="s">
        <v>181</v>
      </c>
      <c r="J2" s="12" t="s">
        <v>133</v>
      </c>
      <c r="K2" s="12" t="s">
        <v>172</v>
      </c>
      <c r="L2" s="22" t="s">
        <v>50</v>
      </c>
      <c r="M2" s="22" t="s">
        <v>171</v>
      </c>
      <c r="N2" s="12" t="s">
        <v>174</v>
      </c>
      <c r="O2" s="12" t="s">
        <v>175</v>
      </c>
      <c r="P2" s="12" t="s">
        <v>182</v>
      </c>
      <c r="Q2" s="12" t="s">
        <v>183</v>
      </c>
      <c r="R2" s="12" t="s">
        <v>184</v>
      </c>
      <c r="S2" s="12" t="s">
        <v>185</v>
      </c>
      <c r="T2" s="12" t="s">
        <v>186</v>
      </c>
      <c r="U2" s="12" t="s">
        <v>176</v>
      </c>
      <c r="V2" s="12" t="s">
        <v>177</v>
      </c>
      <c r="W2" s="12" t="s">
        <v>178</v>
      </c>
      <c r="X2" s="12" t="s">
        <v>179</v>
      </c>
      <c r="Y2" s="13" t="s">
        <v>180</v>
      </c>
    </row>
    <row r="3" spans="2:25" x14ac:dyDescent="0.2">
      <c r="B3" s="16" t="s">
        <v>138</v>
      </c>
      <c r="C3" s="11" t="s">
        <v>137</v>
      </c>
      <c r="D3" s="16" t="s">
        <v>142</v>
      </c>
      <c r="E3" s="16"/>
      <c r="F3" s="16"/>
      <c r="G3" s="16"/>
      <c r="H3" s="16"/>
      <c r="I3" s="16"/>
      <c r="J3" s="16"/>
      <c r="K3" s="16"/>
      <c r="L3" s="21">
        <v>0.8</v>
      </c>
      <c r="M3" s="16">
        <v>36</v>
      </c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</row>
    <row r="4" spans="2:25" x14ac:dyDescent="0.2">
      <c r="B4" s="10" t="s">
        <v>138</v>
      </c>
      <c r="C4" s="8" t="s">
        <v>121</v>
      </c>
      <c r="D4" s="10" t="s">
        <v>142</v>
      </c>
      <c r="E4" s="10"/>
      <c r="F4" s="10"/>
      <c r="G4" s="10"/>
      <c r="H4" s="10"/>
      <c r="I4" s="10"/>
      <c r="J4" s="10"/>
      <c r="K4" s="10"/>
      <c r="L4" s="15">
        <v>0.8</v>
      </c>
      <c r="M4" s="10">
        <v>48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2:25" x14ac:dyDescent="0.2">
      <c r="B5" s="10" t="s">
        <v>138</v>
      </c>
      <c r="C5" s="8" t="s">
        <v>80</v>
      </c>
      <c r="D5" s="10" t="s">
        <v>142</v>
      </c>
      <c r="E5" s="10"/>
      <c r="F5" s="10"/>
      <c r="G5" s="10"/>
      <c r="H5" s="10"/>
      <c r="I5" s="10"/>
      <c r="J5" s="10"/>
      <c r="K5" s="10"/>
      <c r="L5" s="15">
        <v>0.8</v>
      </c>
      <c r="M5" s="10">
        <v>60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2:25" x14ac:dyDescent="0.2">
      <c r="B6" s="10" t="s">
        <v>138</v>
      </c>
      <c r="C6" s="8" t="s">
        <v>111</v>
      </c>
      <c r="D6" s="10" t="s">
        <v>142</v>
      </c>
      <c r="E6" s="10"/>
      <c r="F6" s="10"/>
      <c r="G6" s="10"/>
      <c r="H6" s="10"/>
      <c r="I6" s="10"/>
      <c r="J6" s="10"/>
      <c r="K6" s="10"/>
      <c r="L6" s="15">
        <v>0.8</v>
      </c>
      <c r="M6" s="10">
        <v>48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2:25" x14ac:dyDescent="0.2">
      <c r="B7" s="10" t="s">
        <v>139</v>
      </c>
      <c r="C7" s="8" t="s">
        <v>81</v>
      </c>
      <c r="D7" s="10" t="s">
        <v>142</v>
      </c>
      <c r="E7" s="10"/>
      <c r="F7" s="10"/>
      <c r="G7" s="10"/>
      <c r="H7" s="10"/>
      <c r="I7" s="10"/>
      <c r="J7" s="10"/>
      <c r="K7" s="10"/>
      <c r="L7" s="15">
        <v>0.8</v>
      </c>
      <c r="M7" s="10">
        <v>36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2:25" x14ac:dyDescent="0.2">
      <c r="B8" s="10" t="s">
        <v>139</v>
      </c>
      <c r="C8" s="8" t="s">
        <v>122</v>
      </c>
      <c r="D8" s="10" t="s">
        <v>142</v>
      </c>
      <c r="E8" s="10"/>
      <c r="F8" s="10"/>
      <c r="G8" s="10"/>
      <c r="H8" s="10"/>
      <c r="I8" s="10"/>
      <c r="J8" s="10"/>
      <c r="K8" s="10"/>
      <c r="L8" s="15">
        <v>0.8</v>
      </c>
      <c r="M8" s="10">
        <v>48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2:25" x14ac:dyDescent="0.2">
      <c r="B9" s="10" t="s">
        <v>139</v>
      </c>
      <c r="C9" s="8" t="s">
        <v>83</v>
      </c>
      <c r="D9" s="10" t="s">
        <v>142</v>
      </c>
      <c r="E9" s="10"/>
      <c r="F9" s="10"/>
      <c r="G9" s="10"/>
      <c r="H9" s="10"/>
      <c r="I9" s="10"/>
      <c r="J9" s="10"/>
      <c r="K9" s="10"/>
      <c r="L9" s="15">
        <v>0.8</v>
      </c>
      <c r="M9" s="10">
        <v>60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2:25" x14ac:dyDescent="0.2">
      <c r="B10" s="10" t="s">
        <v>139</v>
      </c>
      <c r="C10" s="8" t="s">
        <v>110</v>
      </c>
      <c r="D10" s="10" t="s">
        <v>142</v>
      </c>
      <c r="E10" s="10"/>
      <c r="F10" s="10"/>
      <c r="G10" s="10"/>
      <c r="H10" s="10"/>
      <c r="I10" s="10"/>
      <c r="J10" s="10"/>
      <c r="K10" s="10"/>
      <c r="L10" s="15">
        <v>0.8</v>
      </c>
      <c r="M10" s="10">
        <v>48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2:25" x14ac:dyDescent="0.2">
      <c r="B11" s="10" t="s">
        <v>141</v>
      </c>
      <c r="C11" s="8" t="s">
        <v>15</v>
      </c>
      <c r="D11" s="10" t="s">
        <v>142</v>
      </c>
      <c r="E11" s="10"/>
      <c r="F11" s="10"/>
      <c r="G11" s="10"/>
      <c r="H11" s="10"/>
      <c r="I11" s="10"/>
      <c r="J11" s="10"/>
      <c r="K11" s="10"/>
      <c r="L11" s="15">
        <v>0.8</v>
      </c>
      <c r="M11" s="10">
        <v>36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2:25" x14ac:dyDescent="0.2">
      <c r="B12" s="10" t="s">
        <v>140</v>
      </c>
      <c r="C12" s="8" t="s">
        <v>16</v>
      </c>
      <c r="D12" s="10" t="s">
        <v>142</v>
      </c>
      <c r="E12" s="10"/>
      <c r="F12" s="10"/>
      <c r="G12" s="10"/>
      <c r="H12" s="10"/>
      <c r="I12" s="10"/>
      <c r="J12" s="10"/>
      <c r="K12" s="10"/>
      <c r="L12" s="15">
        <v>0.8</v>
      </c>
      <c r="M12" s="10">
        <v>48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2:25" x14ac:dyDescent="0.2">
      <c r="B13" s="10" t="s">
        <v>138</v>
      </c>
      <c r="C13" s="8" t="s">
        <v>79</v>
      </c>
      <c r="D13" s="10" t="s">
        <v>143</v>
      </c>
      <c r="E13" s="10"/>
      <c r="F13" s="10"/>
      <c r="G13" s="10"/>
      <c r="H13" s="20"/>
      <c r="I13" s="20"/>
      <c r="J13" s="20"/>
      <c r="K13" s="20"/>
      <c r="L13" s="15">
        <v>0.8</v>
      </c>
      <c r="M13" s="10">
        <v>36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2:25" x14ac:dyDescent="0.2">
      <c r="B14" s="10" t="s">
        <v>138</v>
      </c>
      <c r="C14" s="8" t="s">
        <v>80</v>
      </c>
      <c r="D14" s="10" t="s">
        <v>143</v>
      </c>
      <c r="E14" s="10"/>
      <c r="F14" s="10"/>
      <c r="G14" s="9"/>
      <c r="H14" s="20"/>
      <c r="I14" s="20"/>
      <c r="J14" s="20"/>
      <c r="K14" s="20"/>
      <c r="L14" s="15">
        <v>0.8</v>
      </c>
      <c r="M14" s="10">
        <v>48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2:25" x14ac:dyDescent="0.2">
      <c r="B15" s="10" t="s">
        <v>139</v>
      </c>
      <c r="C15" s="8" t="s">
        <v>82</v>
      </c>
      <c r="D15" s="10" t="s">
        <v>143</v>
      </c>
      <c r="E15" s="10"/>
      <c r="F15" s="10"/>
      <c r="G15" s="9"/>
      <c r="H15" s="20"/>
      <c r="I15" s="20"/>
      <c r="J15" s="20"/>
      <c r="K15" s="20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2:25" x14ac:dyDescent="0.2">
      <c r="B16" s="10" t="s">
        <v>139</v>
      </c>
      <c r="C16" s="8" t="s">
        <v>83</v>
      </c>
      <c r="D16" s="10" t="s">
        <v>143</v>
      </c>
      <c r="E16" s="10"/>
      <c r="F16" s="10"/>
      <c r="G16" s="9"/>
      <c r="H16" s="20"/>
      <c r="I16" s="20"/>
      <c r="J16" s="20"/>
      <c r="K16" s="20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2:25" x14ac:dyDescent="0.2">
      <c r="B17" s="10" t="s">
        <v>141</v>
      </c>
      <c r="C17" s="8" t="s">
        <v>15</v>
      </c>
      <c r="D17" s="10" t="s">
        <v>143</v>
      </c>
      <c r="E17" s="10"/>
      <c r="F17" s="10"/>
      <c r="G17" s="9"/>
      <c r="H17" s="20"/>
      <c r="I17" s="20"/>
      <c r="J17" s="20"/>
      <c r="K17" s="20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2:25" x14ac:dyDescent="0.2">
      <c r="B18" s="10" t="s">
        <v>140</v>
      </c>
      <c r="C18" s="8" t="s">
        <v>16</v>
      </c>
      <c r="D18" s="10" t="s">
        <v>143</v>
      </c>
      <c r="E18" s="10"/>
      <c r="F18" s="10"/>
      <c r="G18" s="9"/>
      <c r="H18" s="20"/>
      <c r="I18" s="20"/>
      <c r="J18" s="20"/>
      <c r="K18" s="20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2:25" x14ac:dyDescent="0.2">
      <c r="B19" s="10" t="s">
        <v>138</v>
      </c>
      <c r="C19" s="8" t="s">
        <v>134</v>
      </c>
      <c r="D19" s="10" t="s">
        <v>144</v>
      </c>
      <c r="E19" s="10"/>
      <c r="F19" s="10"/>
      <c r="G19" s="10"/>
      <c r="H19" s="20"/>
      <c r="I19" s="20"/>
      <c r="J19" s="20"/>
      <c r="K19" s="20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2:25" x14ac:dyDescent="0.2">
      <c r="B20" s="10" t="s">
        <v>141</v>
      </c>
      <c r="C20" s="8" t="s">
        <v>15</v>
      </c>
      <c r="D20" s="10" t="s">
        <v>144</v>
      </c>
      <c r="E20" s="10"/>
      <c r="F20" s="10"/>
      <c r="G20" s="9"/>
      <c r="H20" s="20"/>
      <c r="I20" s="20"/>
      <c r="J20" s="20"/>
      <c r="K20" s="20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2:25" x14ac:dyDescent="0.2">
      <c r="B21" s="10" t="s">
        <v>140</v>
      </c>
      <c r="C21" s="8" t="s">
        <v>70</v>
      </c>
      <c r="D21" s="10" t="s">
        <v>144</v>
      </c>
      <c r="E21" s="10"/>
      <c r="F21" s="10"/>
      <c r="G21" s="9"/>
      <c r="H21" s="20"/>
      <c r="I21" s="20"/>
      <c r="J21" s="20"/>
      <c r="K21" s="20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2:25" x14ac:dyDescent="0.2">
      <c r="B22" s="10" t="s">
        <v>146</v>
      </c>
      <c r="C22" s="8" t="s">
        <v>106</v>
      </c>
      <c r="D22" s="10" t="s">
        <v>145</v>
      </c>
      <c r="E22" s="10"/>
      <c r="F22" s="10"/>
      <c r="G22" s="10"/>
      <c r="H22" s="20"/>
      <c r="I22" s="20"/>
      <c r="J22" s="20"/>
      <c r="K22" s="20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2:25" x14ac:dyDescent="0.2">
      <c r="B23" s="10" t="s">
        <v>140</v>
      </c>
      <c r="C23" s="8" t="s">
        <v>70</v>
      </c>
      <c r="D23" s="10" t="s">
        <v>145</v>
      </c>
      <c r="E23" s="10"/>
      <c r="F23" s="10"/>
      <c r="G23" s="9"/>
      <c r="H23" s="20"/>
      <c r="I23" s="20"/>
      <c r="J23" s="20"/>
      <c r="K23" s="20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2:25" x14ac:dyDescent="0.2">
      <c r="B24" s="10" t="s">
        <v>149</v>
      </c>
      <c r="C24" s="8" t="s">
        <v>158</v>
      </c>
      <c r="D24" s="10" t="s">
        <v>147</v>
      </c>
      <c r="E24" s="10"/>
      <c r="F24" s="10"/>
      <c r="G24" s="10"/>
      <c r="H24" s="10"/>
      <c r="I24" s="10"/>
      <c r="J24" s="10"/>
      <c r="K24" s="10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2:25" x14ac:dyDescent="0.2">
      <c r="B25" s="10" t="s">
        <v>149</v>
      </c>
      <c r="C25" s="8" t="s">
        <v>159</v>
      </c>
      <c r="D25" s="10" t="s">
        <v>147</v>
      </c>
      <c r="E25" s="10"/>
      <c r="F25" s="10"/>
      <c r="G25" s="10"/>
      <c r="H25" s="10"/>
      <c r="I25" s="10"/>
      <c r="J25" s="10"/>
      <c r="K25" s="10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2:25" x14ac:dyDescent="0.2">
      <c r="B26" s="10" t="s">
        <v>149</v>
      </c>
      <c r="C26" s="8" t="s">
        <v>160</v>
      </c>
      <c r="D26" s="10" t="s">
        <v>147</v>
      </c>
      <c r="E26" s="10"/>
      <c r="F26" s="10"/>
      <c r="G26" s="10"/>
      <c r="H26" s="10"/>
      <c r="I26" s="10"/>
      <c r="J26" s="10"/>
      <c r="K26" s="10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2:25" x14ac:dyDescent="0.2">
      <c r="B27" s="10" t="s">
        <v>149</v>
      </c>
      <c r="C27" s="8" t="s">
        <v>161</v>
      </c>
      <c r="D27" s="10" t="s">
        <v>147</v>
      </c>
      <c r="E27" s="10"/>
      <c r="F27" s="10"/>
      <c r="G27" s="10"/>
      <c r="H27" s="10"/>
      <c r="I27" s="10"/>
      <c r="J27" s="10"/>
      <c r="K27" s="10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2:25" x14ac:dyDescent="0.2">
      <c r="B28" s="10" t="s">
        <v>149</v>
      </c>
      <c r="C28" s="8" t="s">
        <v>162</v>
      </c>
      <c r="D28" s="10" t="s">
        <v>147</v>
      </c>
      <c r="E28" s="10"/>
      <c r="F28" s="10"/>
      <c r="G28" s="10"/>
      <c r="H28" s="10"/>
      <c r="I28" s="10"/>
      <c r="J28" s="10"/>
      <c r="K28" s="10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2:25" x14ac:dyDescent="0.2">
      <c r="B29" s="10" t="s">
        <v>149</v>
      </c>
      <c r="C29" s="8" t="s">
        <v>163</v>
      </c>
      <c r="D29" s="10" t="s">
        <v>147</v>
      </c>
      <c r="E29" s="10"/>
      <c r="F29" s="10"/>
      <c r="G29" s="10"/>
      <c r="H29" s="10"/>
      <c r="I29" s="10"/>
      <c r="J29" s="10"/>
      <c r="K29" s="10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2:25" x14ac:dyDescent="0.2">
      <c r="B30" s="10" t="s">
        <v>149</v>
      </c>
      <c r="C30" s="8" t="s">
        <v>164</v>
      </c>
      <c r="D30" s="10" t="s">
        <v>147</v>
      </c>
      <c r="E30" s="10"/>
      <c r="F30" s="10"/>
      <c r="G30" s="10"/>
      <c r="H30" s="10"/>
      <c r="I30" s="10"/>
      <c r="J30" s="10"/>
      <c r="K30" s="10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2:25" x14ac:dyDescent="0.2">
      <c r="B31" s="10" t="s">
        <v>149</v>
      </c>
      <c r="C31" s="8" t="s">
        <v>165</v>
      </c>
      <c r="D31" s="10" t="s">
        <v>147</v>
      </c>
      <c r="E31" s="10"/>
      <c r="F31" s="10"/>
      <c r="G31" s="10"/>
      <c r="H31" s="10"/>
      <c r="I31" s="10"/>
      <c r="J31" s="10"/>
      <c r="K31" s="10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  <row r="32" spans="2:25" x14ac:dyDescent="0.2">
      <c r="B32" s="10" t="s">
        <v>148</v>
      </c>
      <c r="C32" s="8" t="s">
        <v>77</v>
      </c>
      <c r="D32" s="10" t="s">
        <v>147</v>
      </c>
      <c r="E32" s="10"/>
      <c r="F32" s="10"/>
      <c r="G32" s="10"/>
      <c r="H32" s="10"/>
      <c r="I32" s="10"/>
      <c r="J32" s="10"/>
      <c r="K32" s="10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</row>
    <row r="33" spans="2:25" x14ac:dyDescent="0.2">
      <c r="B33" s="10" t="s">
        <v>140</v>
      </c>
      <c r="C33" s="8" t="s">
        <v>76</v>
      </c>
      <c r="D33" s="10" t="s">
        <v>147</v>
      </c>
      <c r="E33" s="10"/>
      <c r="F33" s="10"/>
      <c r="G33" s="10"/>
      <c r="H33" s="10"/>
      <c r="I33" s="10"/>
      <c r="J33" s="10"/>
      <c r="K33" s="10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</row>
  </sheetData>
  <printOptions horizontalCentered="1"/>
  <pageMargins left="1.1811023622047245" right="0.19685039370078741" top="0.55118110236220474" bottom="0.39370078740157483" header="0.51181102362204722" footer="0.51181102362204722"/>
  <pageSetup paperSize="9" scale="73" firstPageNumber="0" fitToHeight="4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259"/>
  <sheetViews>
    <sheetView showGridLines="0" topLeftCell="B4" zoomScale="85" zoomScaleNormal="85" zoomScaleSheetLayoutView="85" workbookViewId="0">
      <selection activeCell="E15" sqref="E15"/>
    </sheetView>
  </sheetViews>
  <sheetFormatPr defaultColWidth="0" defaultRowHeight="15" zeroHeight="1" x14ac:dyDescent="0.25"/>
  <cols>
    <col min="1" max="1" width="7.85546875" style="176" hidden="1" customWidth="1"/>
    <col min="2" max="2" width="11.42578125" style="172" customWidth="1"/>
    <col min="3" max="3" width="44.7109375" style="176" customWidth="1"/>
    <col min="4" max="4" width="12.42578125" style="176" customWidth="1"/>
    <col min="5" max="5" width="14.42578125" style="176" customWidth="1"/>
    <col min="6" max="6" width="16.28515625" style="176" customWidth="1"/>
    <col min="7" max="7" width="17.28515625" style="176" bestFit="1" customWidth="1"/>
    <col min="8" max="8" width="15.28515625" style="176" customWidth="1"/>
    <col min="9" max="9" width="14" style="172" hidden="1" customWidth="1"/>
    <col min="10" max="10" width="12.85546875" style="172" hidden="1" customWidth="1"/>
    <col min="11" max="11" width="14" style="172" hidden="1" customWidth="1"/>
    <col min="12" max="12" width="12.140625" style="172" hidden="1" customWidth="1"/>
    <col min="13" max="14" width="0" style="172" hidden="1" customWidth="1"/>
    <col min="15" max="16384" width="11.42578125" style="172" hidden="1"/>
  </cols>
  <sheetData>
    <row r="1" spans="1:14" x14ac:dyDescent="0.25"/>
    <row r="2" spans="1:14" x14ac:dyDescent="0.25"/>
    <row r="3" spans="1:14" x14ac:dyDescent="0.25"/>
    <row r="4" spans="1:14" x14ac:dyDescent="0.25"/>
    <row r="5" spans="1:14" x14ac:dyDescent="0.25"/>
    <row r="6" spans="1:14" x14ac:dyDescent="0.25"/>
    <row r="7" spans="1:14" ht="18" customHeight="1" thickBot="1" x14ac:dyDescent="0.3">
      <c r="B7" s="815" t="s">
        <v>843</v>
      </c>
      <c r="C7" s="816"/>
      <c r="D7" s="816"/>
      <c r="E7" s="816"/>
      <c r="F7" s="816"/>
      <c r="G7" s="816"/>
      <c r="H7" s="817"/>
      <c r="I7" s="425"/>
      <c r="J7" s="176"/>
      <c r="K7" s="176"/>
      <c r="L7" s="176"/>
      <c r="M7" s="176"/>
      <c r="N7" s="176"/>
    </row>
    <row r="8" spans="1:14" x14ac:dyDescent="0.25">
      <c r="B8" s="333"/>
      <c r="C8" s="192"/>
      <c r="D8" s="192"/>
      <c r="E8" s="192"/>
      <c r="F8" s="192"/>
      <c r="G8" s="192"/>
      <c r="H8" s="334"/>
      <c r="I8" s="176"/>
      <c r="J8" s="176"/>
      <c r="K8" s="176"/>
      <c r="L8" s="176"/>
      <c r="M8" s="176"/>
      <c r="N8" s="176"/>
    </row>
    <row r="9" spans="1:14" x14ac:dyDescent="0.25">
      <c r="B9" s="264" t="s">
        <v>2</v>
      </c>
      <c r="C9" s="265" t="s">
        <v>18</v>
      </c>
      <c r="D9" s="266"/>
      <c r="E9" s="266"/>
      <c r="F9" s="266"/>
      <c r="G9" s="266"/>
      <c r="H9" s="267"/>
    </row>
    <row r="10" spans="1:14" x14ac:dyDescent="0.25">
      <c r="B10" s="751"/>
      <c r="C10" s="752"/>
      <c r="D10" s="325"/>
      <c r="E10" s="325"/>
      <c r="F10" s="325"/>
      <c r="G10" s="325"/>
      <c r="H10" s="326"/>
    </row>
    <row r="11" spans="1:14" x14ac:dyDescent="0.25">
      <c r="B11" s="268" t="s">
        <v>7</v>
      </c>
      <c r="C11" s="269" t="s">
        <v>8</v>
      </c>
      <c r="D11" s="269" t="s">
        <v>9</v>
      </c>
      <c r="E11" s="269" t="s">
        <v>10</v>
      </c>
      <c r="F11" s="269" t="s">
        <v>11</v>
      </c>
      <c r="G11" s="269" t="s">
        <v>12</v>
      </c>
      <c r="H11" s="270"/>
    </row>
    <row r="12" spans="1:14" x14ac:dyDescent="0.25">
      <c r="B12" s="271" t="s">
        <v>88</v>
      </c>
      <c r="C12" s="272" t="s">
        <v>19</v>
      </c>
      <c r="D12" s="273"/>
      <c r="E12" s="273"/>
      <c r="F12" s="273"/>
      <c r="G12" s="273"/>
      <c r="H12" s="274"/>
    </row>
    <row r="13" spans="1:14" x14ac:dyDescent="0.25">
      <c r="B13" s="335"/>
      <c r="C13" s="192"/>
      <c r="D13" s="192"/>
      <c r="E13" s="192"/>
      <c r="F13" s="192"/>
      <c r="G13" s="192"/>
      <c r="H13" s="336"/>
    </row>
    <row r="14" spans="1:14" x14ac:dyDescent="0.25">
      <c r="A14" s="176" t="s">
        <v>96</v>
      </c>
      <c r="B14" s="335" t="str">
        <f>IF(C14="","",$B$12&amp;"."&amp;COUNT($F$14:F14))</f>
        <v>1.1.1</v>
      </c>
      <c r="C14" s="192" t="s">
        <v>20</v>
      </c>
      <c r="D14" s="190" t="s">
        <v>21</v>
      </c>
      <c r="E14" s="857">
        <f>SUMIFS('2. DADOS DE ENTRADA'!C:C,'2. DADOS DE ENTRADA'!A:A,'5. COLETA URBANA SEDE.DISTRITOS'!A14,'2. DADOS DE ENTRADA'!B:B,'5. COLETA URBANA SEDE.DISTRITOS'!$C$12)</f>
        <v>173.38</v>
      </c>
      <c r="F14" s="858">
        <f>'3. PREÇOS UNITÁRIOS'!D22/'5. COLETA URBANA SEDE.DISTRITOS'!E14</f>
        <v>13.474592225170147</v>
      </c>
      <c r="G14" s="858">
        <f>E14*F14</f>
        <v>2336.2248</v>
      </c>
      <c r="H14" s="859"/>
    </row>
    <row r="15" spans="1:14" x14ac:dyDescent="0.25">
      <c r="A15" s="176" t="s">
        <v>88</v>
      </c>
      <c r="B15" s="335" t="str">
        <f>IF(C15="","",$B$12&amp;"."&amp;COUNT($F$14:F15))</f>
        <v>1.1.2</v>
      </c>
      <c r="C15" s="192" t="s">
        <v>22</v>
      </c>
      <c r="D15" s="190" t="s">
        <v>1</v>
      </c>
      <c r="E15" s="860">
        <f>SUMIFS('2. DADOS DE ENTRADA'!C:C,'2. DADOS DE ENTRADA'!A:A,'5. COLETA URBANA SEDE.DISTRITOS'!A15,'2. DADOS DE ENTRADA'!B:B,'5. COLETA URBANA SEDE.DISTRITOS'!$C$12)</f>
        <v>0.4</v>
      </c>
      <c r="F15" s="858">
        <f>'3. PREÇOS UNITÁRIOS'!D21</f>
        <v>1412</v>
      </c>
      <c r="G15" s="858">
        <f>E15*F15</f>
        <v>564.80000000000007</v>
      </c>
      <c r="H15" s="859"/>
      <c r="I15" s="432"/>
    </row>
    <row r="16" spans="1:14" x14ac:dyDescent="0.25">
      <c r="B16" s="335" t="str">
        <f>IF(C16="","",$B$12&amp;"."&amp;COUNT($F$14:F16))</f>
        <v/>
      </c>
      <c r="C16" s="192"/>
      <c r="D16" s="190"/>
      <c r="E16" s="860"/>
      <c r="F16" s="858"/>
      <c r="G16" s="861">
        <f>SUM(G14:G15)</f>
        <v>2901.0248000000001</v>
      </c>
      <c r="H16" s="859"/>
      <c r="I16" s="432"/>
    </row>
    <row r="17" spans="1:9" x14ac:dyDescent="0.25">
      <c r="A17" s="176" t="s">
        <v>109</v>
      </c>
      <c r="B17" s="335" t="str">
        <f>IF(C17="","",$B$12&amp;"."&amp;COUNT($F$14:F17))</f>
        <v>1.1.3</v>
      </c>
      <c r="C17" s="192" t="s">
        <v>254</v>
      </c>
      <c r="D17" s="190" t="s">
        <v>21</v>
      </c>
      <c r="E17" s="862">
        <f>SUMIFS('2. DADOS DE ENTRADA'!D:D,'2. DADOS DE ENTRADA'!A:A,'5. COLETA URBANA SEDE.DISTRITOS'!A17,'2. DADOS DE ENTRADA'!B:B,'5. COLETA URBANA SEDE.DISTRITOS'!C12)</f>
        <v>0</v>
      </c>
      <c r="F17" s="863">
        <f>(G16/E14)*1.5</f>
        <v>25.098265082477795</v>
      </c>
      <c r="G17" s="863">
        <f>F17*E17</f>
        <v>0</v>
      </c>
      <c r="H17" s="864"/>
    </row>
    <row r="18" spans="1:9" x14ac:dyDescent="0.25">
      <c r="A18" s="176" t="s">
        <v>95</v>
      </c>
      <c r="B18" s="335" t="str">
        <f>IF(C18="","",$B$12&amp;"."&amp;COUNT($F$14:F18))</f>
        <v>1.1.4</v>
      </c>
      <c r="C18" s="192" t="s">
        <v>255</v>
      </c>
      <c r="D18" s="190" t="s">
        <v>21</v>
      </c>
      <c r="E18" s="862">
        <f>SUMIFS('2. DADOS DE ENTRADA'!D:D,'2. DADOS DE ENTRADA'!A:A,'5. COLETA URBANA SEDE.DISTRITOS'!A18,'2. DADOS DE ENTRADA'!B:B,'5. COLETA URBANA SEDE.DISTRITOS'!C12)</f>
        <v>0</v>
      </c>
      <c r="F18" s="863">
        <f>(G16/E14)*2</f>
        <v>33.464353443303729</v>
      </c>
      <c r="G18" s="863">
        <f>F18*E18</f>
        <v>0</v>
      </c>
      <c r="H18" s="864"/>
      <c r="I18" s="432"/>
    </row>
    <row r="19" spans="1:9" x14ac:dyDescent="0.25">
      <c r="A19" s="379"/>
      <c r="B19" s="275" t="str">
        <f>IF(C19="","",$B$12&amp;"."&amp;COUNT($F$14:F19))</f>
        <v/>
      </c>
      <c r="C19" s="276"/>
      <c r="D19" s="276"/>
      <c r="E19" s="865"/>
      <c r="F19" s="866" t="s">
        <v>352</v>
      </c>
      <c r="G19" s="867">
        <f>G16+G17+G18</f>
        <v>2901.0248000000001</v>
      </c>
      <c r="H19" s="868"/>
    </row>
    <row r="20" spans="1:9" x14ac:dyDescent="0.25">
      <c r="A20" s="176" t="s">
        <v>273</v>
      </c>
      <c r="B20" s="335" t="str">
        <f>IF(C20="","",$B$12&amp;"."&amp;COUNT($F$14:F20))</f>
        <v>1.1.5</v>
      </c>
      <c r="C20" s="192" t="s">
        <v>23</v>
      </c>
      <c r="D20" s="190" t="s">
        <v>1</v>
      </c>
      <c r="E20" s="869">
        <f>SUMIFS('2. DADOS DE ENTRADA'!C:C,'2. DADOS DE ENTRADA'!A:A,'5. COLETA URBANA SEDE.DISTRITOS'!A20,'2. DADOS DE ENTRADA'!B:B,'5. COLETA URBANA SEDE.DISTRITOS'!$C$12)</f>
        <v>0.71101040000000004</v>
      </c>
      <c r="F20" s="858">
        <f>G19</f>
        <v>2901.0248000000001</v>
      </c>
      <c r="G20" s="858">
        <f>(E20)*F20</f>
        <v>2062.6588034579204</v>
      </c>
      <c r="H20" s="859"/>
    </row>
    <row r="21" spans="1:9" x14ac:dyDescent="0.25">
      <c r="A21" s="379"/>
      <c r="B21" s="275" t="str">
        <f>IF(C21="","",$B$12&amp;"."&amp;COUNT($F$14:F21))</f>
        <v/>
      </c>
      <c r="C21" s="276"/>
      <c r="D21" s="276"/>
      <c r="E21" s="865"/>
      <c r="F21" s="866" t="s">
        <v>352</v>
      </c>
      <c r="G21" s="867">
        <f>G20+G19</f>
        <v>4963.683603457921</v>
      </c>
      <c r="H21" s="868"/>
    </row>
    <row r="22" spans="1:9" x14ac:dyDescent="0.25">
      <c r="A22" s="176" t="s">
        <v>93</v>
      </c>
      <c r="B22" s="335" t="str">
        <f>IF(C22="","",$B$12&amp;"."&amp;COUNT($F$14:F22))</f>
        <v>1.1.6</v>
      </c>
      <c r="C22" s="192" t="s">
        <v>24</v>
      </c>
      <c r="D22" s="190" t="s">
        <v>25</v>
      </c>
      <c r="E22" s="870">
        <f>SUMIFS('2. DADOS DE ENTRADA'!C:C,'2. DADOS DE ENTRADA'!A:A,'5. COLETA URBANA SEDE.DISTRITOS'!A22,'2. DADOS DE ENTRADA'!B:B,'5. COLETA URBANA SEDE.DISTRITOS'!$C$12)+SUMIFS('2. DADOS DE ENTRADA'!D:D,'2. DADOS DE ENTRADA'!A:A,'5. COLETA URBANA SEDE.DISTRITOS'!A22,'2. DADOS DE ENTRADA'!B:B,'5. COLETA URBANA SEDE.DISTRITOS'!$C$12)</f>
        <v>0.52669999999999995</v>
      </c>
      <c r="F22" s="858">
        <f>G21</f>
        <v>4963.683603457921</v>
      </c>
      <c r="G22" s="858">
        <f>E22*F22</f>
        <v>2614.3721539412868</v>
      </c>
      <c r="H22" s="859"/>
    </row>
    <row r="23" spans="1:9" x14ac:dyDescent="0.25">
      <c r="A23" s="176" t="s">
        <v>93</v>
      </c>
      <c r="B23" s="335" t="str">
        <f>IF(C23="","",$B$12&amp;"."&amp;COUNT($F$14:F23))</f>
        <v>1.1.7</v>
      </c>
      <c r="C23" s="189" t="s">
        <v>672</v>
      </c>
      <c r="D23" s="193" t="s">
        <v>25</v>
      </c>
      <c r="E23" s="870">
        <f>SUMIFS('2. DADOS DE ENTRADA'!F:F,'2. DADOS DE ENTRADA'!A:A,'5. COLETA URBANA SEDE.DISTRITOS'!A22,'2. DADOS DE ENTRADA'!B:B,'5. COLETA URBANA SEDE.DISTRITOS'!$C$12)</f>
        <v>0.1</v>
      </c>
      <c r="F23" s="858">
        <f>G21</f>
        <v>4963.683603457921</v>
      </c>
      <c r="G23" s="858">
        <f>E23*F23</f>
        <v>496.3683603457921</v>
      </c>
      <c r="H23" s="871"/>
    </row>
    <row r="24" spans="1:9" x14ac:dyDescent="0.25">
      <c r="A24" s="176" t="s">
        <v>104</v>
      </c>
      <c r="B24" s="335" t="str">
        <f>IF(C24="","",$B$12&amp;"."&amp;COUNT($F$14:F24))</f>
        <v>1.1.8</v>
      </c>
      <c r="C24" s="192" t="s">
        <v>29</v>
      </c>
      <c r="D24" s="190" t="s">
        <v>4</v>
      </c>
      <c r="E24" s="870">
        <f>SUMIFS('2. DADOS DE ENTRADA'!C:C,'2. DADOS DE ENTRADA'!A:A,'5. COLETA URBANA SEDE.DISTRITOS'!A24,'2. DADOS DE ENTRADA'!B:B,'5. COLETA URBANA SEDE.DISTRITOS'!$C$12)</f>
        <v>26</v>
      </c>
      <c r="F24" s="858">
        <f>'3. PREÇOS UNITÁRIOS'!D27/E24</f>
        <v>12.594230769230769</v>
      </c>
      <c r="G24" s="858">
        <f>E24*F24</f>
        <v>327.45</v>
      </c>
      <c r="H24" s="872"/>
      <c r="I24" s="426"/>
    </row>
    <row r="25" spans="1:9" x14ac:dyDescent="0.25">
      <c r="A25" s="176" t="s">
        <v>93</v>
      </c>
      <c r="B25" s="335" t="str">
        <f>IF(C25="","",$B$12&amp;"."&amp;COUNT($F$14:F25))</f>
        <v>1.1.9</v>
      </c>
      <c r="C25" s="192" t="s">
        <v>28</v>
      </c>
      <c r="D25" s="190" t="s">
        <v>25</v>
      </c>
      <c r="E25" s="870">
        <f>E22+E23</f>
        <v>0.62669999999999992</v>
      </c>
      <c r="F25" s="858">
        <f>'3. PREÇOS UNITÁRIOS'!D27</f>
        <v>327.45</v>
      </c>
      <c r="G25" s="858">
        <f>F25*E25</f>
        <v>205.21291499999998</v>
      </c>
      <c r="H25" s="871"/>
    </row>
    <row r="26" spans="1:9" x14ac:dyDescent="0.25">
      <c r="B26" s="335" t="str">
        <f>IF(C26="","",$B$12&amp;"."&amp;COUNT($F$14:F26))</f>
        <v>1.1.10</v>
      </c>
      <c r="C26" s="192" t="s">
        <v>638</v>
      </c>
      <c r="D26" s="190" t="s">
        <v>25</v>
      </c>
      <c r="E26" s="870">
        <f>E25</f>
        <v>0.62669999999999992</v>
      </c>
      <c r="F26" s="858">
        <f>'3. PREÇOS UNITÁRIOS'!D29</f>
        <v>40</v>
      </c>
      <c r="G26" s="858">
        <f>F26*E26</f>
        <v>25.067999999999998</v>
      </c>
      <c r="H26" s="871"/>
    </row>
    <row r="27" spans="1:9" x14ac:dyDescent="0.25">
      <c r="A27" s="379"/>
      <c r="B27" s="277"/>
      <c r="C27" s="278"/>
      <c r="D27" s="278"/>
      <c r="E27" s="873"/>
      <c r="F27" s="874" t="s">
        <v>284</v>
      </c>
      <c r="G27" s="875">
        <f>G22+G23+G25+G26</f>
        <v>3341.0214292870792</v>
      </c>
      <c r="H27" s="876"/>
    </row>
    <row r="28" spans="1:9" s="176" customFormat="1" x14ac:dyDescent="0.25">
      <c r="B28" s="345"/>
      <c r="C28" s="192"/>
      <c r="D28" s="190"/>
      <c r="E28" s="857"/>
      <c r="F28" s="877"/>
      <c r="G28" s="878"/>
      <c r="H28" s="871"/>
    </row>
    <row r="29" spans="1:9" x14ac:dyDescent="0.25">
      <c r="B29" s="271" t="s">
        <v>89</v>
      </c>
      <c r="C29" s="272" t="s">
        <v>30</v>
      </c>
      <c r="D29" s="273"/>
      <c r="E29" s="879"/>
      <c r="F29" s="879"/>
      <c r="G29" s="879"/>
      <c r="H29" s="880"/>
    </row>
    <row r="30" spans="1:9" x14ac:dyDescent="0.25">
      <c r="B30" s="335"/>
      <c r="C30" s="192"/>
      <c r="D30" s="192"/>
      <c r="E30" s="881"/>
      <c r="F30" s="881"/>
      <c r="G30" s="881"/>
      <c r="H30" s="859"/>
    </row>
    <row r="31" spans="1:9" x14ac:dyDescent="0.25">
      <c r="A31" s="176" t="s">
        <v>96</v>
      </c>
      <c r="B31" s="335" t="str">
        <f>IF(C31="","",$B$29&amp;"."&amp;COUNT($F$31:F31))</f>
        <v>1.2.1</v>
      </c>
      <c r="C31" s="192" t="s">
        <v>20</v>
      </c>
      <c r="D31" s="190" t="s">
        <v>21</v>
      </c>
      <c r="E31" s="857">
        <f>SUMIFS('2. DADOS DE ENTRADA'!C:C,'2. DADOS DE ENTRADA'!A:A,'5. COLETA URBANA SEDE.DISTRITOS'!A31,'2. DADOS DE ENTRADA'!B:B,'5. COLETA URBANA SEDE.DISTRITOS'!$C$29)</f>
        <v>133</v>
      </c>
      <c r="F31" s="858">
        <f>'3. PREÇOS UNITÁRIOS'!D23/'5. COLETA URBANA SEDE.DISTRITOS'!E31</f>
        <v>12.233185714285714</v>
      </c>
      <c r="G31" s="858">
        <f>E31*F31</f>
        <v>1627.0137</v>
      </c>
      <c r="H31" s="859"/>
    </row>
    <row r="32" spans="1:9" x14ac:dyDescent="0.25">
      <c r="A32" s="176" t="s">
        <v>88</v>
      </c>
      <c r="B32" s="335" t="str">
        <f>IF(C32="","",$B$29&amp;"."&amp;COUNT($F$31:F32))</f>
        <v>1.2.2</v>
      </c>
      <c r="C32" s="192" t="s">
        <v>22</v>
      </c>
      <c r="D32" s="190" t="s">
        <v>1</v>
      </c>
      <c r="E32" s="860">
        <f>SUMIFS('2. DADOS DE ENTRADA'!C:C,'2. DADOS DE ENTRADA'!A:A,'5. COLETA URBANA SEDE.DISTRITOS'!A32,'2. DADOS DE ENTRADA'!B:B,'5. COLETA URBANA SEDE.DISTRITOS'!$C$29)</f>
        <v>0.4</v>
      </c>
      <c r="F32" s="858">
        <f>'3. PREÇOS UNITÁRIOS'!D21</f>
        <v>1412</v>
      </c>
      <c r="G32" s="858">
        <f>E32*F32</f>
        <v>564.80000000000007</v>
      </c>
      <c r="H32" s="859"/>
      <c r="I32" s="427"/>
    </row>
    <row r="33" spans="1:9" x14ac:dyDescent="0.25">
      <c r="B33" s="335"/>
      <c r="C33" s="192"/>
      <c r="D33" s="190"/>
      <c r="E33" s="860"/>
      <c r="F33" s="858"/>
      <c r="G33" s="861">
        <f>SUM(G31:G32)</f>
        <v>2191.8137000000002</v>
      </c>
      <c r="H33" s="859"/>
      <c r="I33" s="427"/>
    </row>
    <row r="34" spans="1:9" s="176" customFormat="1" x14ac:dyDescent="0.25">
      <c r="A34" s="176" t="s">
        <v>109</v>
      </c>
      <c r="B34" s="335" t="str">
        <f>IF(C34="","",$B$29&amp;"."&amp;COUNT($F$31:F34))</f>
        <v>1.2.3</v>
      </c>
      <c r="C34" s="192" t="s">
        <v>254</v>
      </c>
      <c r="D34" s="190" t="s">
        <v>21</v>
      </c>
      <c r="E34" s="862">
        <f>SUMIFS('2. DADOS DE ENTRADA'!D:D,'2. DADOS DE ENTRADA'!A:A,'5. COLETA URBANA SEDE.DISTRITOS'!A34,'2. DADOS DE ENTRADA'!B:B,'5. COLETA URBANA SEDE.DISTRITOS'!C29)</f>
        <v>0</v>
      </c>
      <c r="F34" s="863">
        <f>(G33/E31)*1.5</f>
        <v>24.719703383458651</v>
      </c>
      <c r="G34" s="863">
        <f>(E34)*F34</f>
        <v>0</v>
      </c>
      <c r="H34" s="864"/>
    </row>
    <row r="35" spans="1:9" s="176" customFormat="1" x14ac:dyDescent="0.25">
      <c r="A35" s="176" t="s">
        <v>95</v>
      </c>
      <c r="B35" s="335" t="str">
        <f>IF(C35="","",$B$29&amp;"."&amp;COUNT($F$31:F35))</f>
        <v>1.2.4</v>
      </c>
      <c r="C35" s="192" t="s">
        <v>255</v>
      </c>
      <c r="D35" s="190" t="s">
        <v>21</v>
      </c>
      <c r="E35" s="862">
        <f>SUMIFS('2. DADOS DE ENTRADA'!D:D,'2. DADOS DE ENTRADA'!A:A,'5. COLETA URBANA SEDE.DISTRITOS'!A35,'2. DADOS DE ENTRADA'!B:B,'5. COLETA URBANA SEDE.DISTRITOS'!C29)</f>
        <v>0</v>
      </c>
      <c r="F35" s="863">
        <f>(G33/E31)*2</f>
        <v>32.959604511278201</v>
      </c>
      <c r="G35" s="863">
        <f>(E35)*F35</f>
        <v>0</v>
      </c>
      <c r="H35" s="864"/>
    </row>
    <row r="36" spans="1:9" s="176" customFormat="1" x14ac:dyDescent="0.25">
      <c r="A36" s="379"/>
      <c r="B36" s="275" t="str">
        <f>IF(C36="","",$B$29&amp;"."&amp;COUNT($F$31:F36))</f>
        <v/>
      </c>
      <c r="C36" s="276"/>
      <c r="D36" s="276"/>
      <c r="E36" s="865"/>
      <c r="F36" s="866" t="s">
        <v>352</v>
      </c>
      <c r="G36" s="867">
        <f>G33+G34+G35</f>
        <v>2191.8137000000002</v>
      </c>
      <c r="H36" s="868"/>
    </row>
    <row r="37" spans="1:9" x14ac:dyDescent="0.25">
      <c r="A37" s="176" t="s">
        <v>273</v>
      </c>
      <c r="B37" s="335" t="str">
        <f>IF(C37="","",$B$29&amp;"."&amp;COUNT($F$31:F37))</f>
        <v>1.2.5</v>
      </c>
      <c r="C37" s="192" t="s">
        <v>23</v>
      </c>
      <c r="D37" s="190" t="s">
        <v>1</v>
      </c>
      <c r="E37" s="869">
        <f>SUMIFS('2. DADOS DE ENTRADA'!C:C,'2. DADOS DE ENTRADA'!A:A,'5. COLETA URBANA SEDE.DISTRITOS'!A37,'2. DADOS DE ENTRADA'!B:B,'5. COLETA URBANA SEDE.DISTRITOS'!$C$29)</f>
        <v>0.71101040000000004</v>
      </c>
      <c r="F37" s="858">
        <f>G36</f>
        <v>2191.8137000000002</v>
      </c>
      <c r="G37" s="858">
        <f>(E37)*F37</f>
        <v>1558.4023355624802</v>
      </c>
      <c r="H37" s="859"/>
    </row>
    <row r="38" spans="1:9" x14ac:dyDescent="0.25">
      <c r="A38" s="379"/>
      <c r="B38" s="275" t="str">
        <f>IF(C38="","",$B$29&amp;"."&amp;COUNT($F$31:F38))</f>
        <v/>
      </c>
      <c r="C38" s="276"/>
      <c r="D38" s="276"/>
      <c r="E38" s="865"/>
      <c r="F38" s="866" t="s">
        <v>353</v>
      </c>
      <c r="G38" s="867">
        <f>G36+G37</f>
        <v>3750.2160355624801</v>
      </c>
      <c r="H38" s="868"/>
    </row>
    <row r="39" spans="1:9" x14ac:dyDescent="0.25">
      <c r="A39" s="176" t="s">
        <v>93</v>
      </c>
      <c r="B39" s="335" t="str">
        <f>IF(C39="","",$B$29&amp;"."&amp;COUNT($F$31:F39))</f>
        <v>1.2.6</v>
      </c>
      <c r="C39" s="192" t="s">
        <v>31</v>
      </c>
      <c r="D39" s="190" t="s">
        <v>25</v>
      </c>
      <c r="E39" s="870">
        <f>SUMIFS('2. DADOS DE ENTRADA'!C:C,'2. DADOS DE ENTRADA'!A:A,'5. COLETA URBANA SEDE.DISTRITOS'!A39,'2. DADOS DE ENTRADA'!B:B,'5. COLETA URBANA SEDE.DISTRITOS'!$C$29)+SUMIFS('2. DADOS DE ENTRADA'!D:D,'2. DADOS DE ENTRADA'!A:A,'5. COLETA URBANA SEDE.DISTRITOS'!A39,'2. DADOS DE ENTRADA'!B:B,'5. COLETA URBANA SEDE.DISTRITOS'!$C$29)</f>
        <v>1.3</v>
      </c>
      <c r="F39" s="858">
        <f>G38</f>
        <v>3750.2160355624801</v>
      </c>
      <c r="G39" s="858">
        <f>E39*F39</f>
        <v>4875.2808462312241</v>
      </c>
      <c r="H39" s="859"/>
    </row>
    <row r="40" spans="1:9" x14ac:dyDescent="0.25">
      <c r="A40" s="176" t="s">
        <v>93</v>
      </c>
      <c r="B40" s="335" t="str">
        <f>IF(C40="","",$B$29&amp;"."&amp;COUNT($F$31:F40))</f>
        <v>1.2.7</v>
      </c>
      <c r="C40" s="189" t="s">
        <v>26</v>
      </c>
      <c r="D40" s="193" t="s">
        <v>25</v>
      </c>
      <c r="E40" s="870">
        <f>SUMIFS('2. DADOS DE ENTRADA'!F:F,'2. DADOS DE ENTRADA'!A:A,'5. COLETA URBANA SEDE.DISTRITOS'!A40,'2. DADOS DE ENTRADA'!B:B,'5. COLETA URBANA SEDE.DISTRITOS'!$C$29)</f>
        <v>0.2</v>
      </c>
      <c r="F40" s="858">
        <f>G38</f>
        <v>3750.2160355624801</v>
      </c>
      <c r="G40" s="858">
        <f>E40*F40</f>
        <v>750.04320711249602</v>
      </c>
      <c r="H40" s="871"/>
    </row>
    <row r="41" spans="1:9" x14ac:dyDescent="0.25">
      <c r="A41" s="176" t="s">
        <v>104</v>
      </c>
      <c r="B41" s="335" t="str">
        <f>IF(C41="","",$B$29&amp;"."&amp;COUNT($F$31:F41))</f>
        <v>1.2.8</v>
      </c>
      <c r="C41" s="192" t="s">
        <v>29</v>
      </c>
      <c r="D41" s="190" t="s">
        <v>4</v>
      </c>
      <c r="E41" s="870">
        <f>SUMIFS('2. DADOS DE ENTRADA'!C:C,'2. DADOS DE ENTRADA'!A:A,'5. COLETA URBANA SEDE.DISTRITOS'!A41,'2. DADOS DE ENTRADA'!B:B,'5. COLETA URBANA SEDE.DISTRITOS'!$C$29)</f>
        <v>26</v>
      </c>
      <c r="F41" s="858">
        <f>'3. PREÇOS UNITÁRIOS'!D27/E41</f>
        <v>12.594230769230769</v>
      </c>
      <c r="G41" s="858">
        <f>E41*F41</f>
        <v>327.45</v>
      </c>
      <c r="H41" s="872"/>
    </row>
    <row r="42" spans="1:9" x14ac:dyDescent="0.25">
      <c r="A42" s="176" t="s">
        <v>93</v>
      </c>
      <c r="B42" s="335" t="str">
        <f>IF(C42="","",$B$29&amp;"."&amp;COUNT($F$31:F42))</f>
        <v>1.2.9</v>
      </c>
      <c r="C42" s="192" t="s">
        <v>32</v>
      </c>
      <c r="D42" s="190" t="s">
        <v>25</v>
      </c>
      <c r="E42" s="870">
        <f>E39+E40</f>
        <v>1.5</v>
      </c>
      <c r="F42" s="858">
        <f>'3. PREÇOS UNITÁRIOS'!D27</f>
        <v>327.45</v>
      </c>
      <c r="G42" s="858">
        <f>F42*E42</f>
        <v>491.17499999999995</v>
      </c>
      <c r="H42" s="871"/>
    </row>
    <row r="43" spans="1:9" x14ac:dyDescent="0.25">
      <c r="B43" s="335" t="str">
        <f>IF(C43="","",$B$29&amp;"."&amp;COUNT($F$31:F43))</f>
        <v>1.2.10</v>
      </c>
      <c r="C43" s="192" t="s">
        <v>638</v>
      </c>
      <c r="D43" s="190" t="s">
        <v>25</v>
      </c>
      <c r="E43" s="870">
        <f>E39+E40</f>
        <v>1.5</v>
      </c>
      <c r="F43" s="858">
        <f>'3. PREÇOS UNITÁRIOS'!D29</f>
        <v>40</v>
      </c>
      <c r="G43" s="858">
        <f>F43*E43</f>
        <v>60</v>
      </c>
      <c r="H43" s="871"/>
    </row>
    <row r="44" spans="1:9" x14ac:dyDescent="0.25">
      <c r="A44" s="379"/>
      <c r="B44" s="277" t="str">
        <f>IF(C44="","",$B$29&amp;"."&amp;COUNT($F$31:F44))</f>
        <v/>
      </c>
      <c r="C44" s="278"/>
      <c r="D44" s="278"/>
      <c r="E44" s="873"/>
      <c r="F44" s="874" t="s">
        <v>285</v>
      </c>
      <c r="G44" s="875">
        <f>G39+G40+G42+G43</f>
        <v>6176.4990533437203</v>
      </c>
      <c r="H44" s="876"/>
    </row>
    <row r="45" spans="1:9" x14ac:dyDescent="0.25">
      <c r="B45" s="335"/>
      <c r="C45" s="189"/>
      <c r="D45" s="193"/>
      <c r="E45" s="862"/>
      <c r="F45" s="882"/>
      <c r="G45" s="883"/>
      <c r="H45" s="884"/>
    </row>
    <row r="46" spans="1:9" x14ac:dyDescent="0.25">
      <c r="B46" s="279"/>
      <c r="C46" s="280"/>
      <c r="D46" s="280"/>
      <c r="E46" s="885" t="s">
        <v>34</v>
      </c>
      <c r="F46" s="885"/>
      <c r="G46" s="886">
        <f>+G44+G27</f>
        <v>9517.5204826308</v>
      </c>
      <c r="H46" s="887"/>
    </row>
    <row r="47" spans="1:9" s="434" customFormat="1" x14ac:dyDescent="0.25">
      <c r="A47" s="433"/>
      <c r="B47" s="351"/>
      <c r="C47" s="352"/>
      <c r="D47" s="352"/>
      <c r="E47" s="888"/>
      <c r="F47" s="888"/>
      <c r="G47" s="888"/>
      <c r="H47" s="889"/>
    </row>
    <row r="48" spans="1:9" x14ac:dyDescent="0.25">
      <c r="B48" s="353"/>
      <c r="C48" s="354"/>
      <c r="D48" s="355"/>
      <c r="E48" s="890"/>
      <c r="F48" s="891"/>
      <c r="G48" s="891"/>
      <c r="H48" s="892"/>
    </row>
    <row r="49" spans="1:9" x14ac:dyDescent="0.25">
      <c r="B49" s="281" t="s">
        <v>5</v>
      </c>
      <c r="C49" s="282" t="s">
        <v>72</v>
      </c>
      <c r="D49" s="283"/>
      <c r="E49" s="893"/>
      <c r="F49" s="893"/>
      <c r="G49" s="893"/>
      <c r="H49" s="894"/>
    </row>
    <row r="50" spans="1:9" x14ac:dyDescent="0.25">
      <c r="B50" s="284"/>
      <c r="C50" s="285"/>
      <c r="D50" s="286"/>
      <c r="E50" s="895"/>
      <c r="F50" s="895"/>
      <c r="G50" s="895"/>
      <c r="H50" s="896"/>
    </row>
    <row r="51" spans="1:9" s="750" customFormat="1" x14ac:dyDescent="0.25">
      <c r="A51" s="176"/>
      <c r="B51" s="748" t="s">
        <v>7</v>
      </c>
      <c r="C51" s="749" t="s">
        <v>8</v>
      </c>
      <c r="D51" s="749" t="s">
        <v>9</v>
      </c>
      <c r="E51" s="897" t="s">
        <v>10</v>
      </c>
      <c r="F51" s="897" t="s">
        <v>11</v>
      </c>
      <c r="G51" s="897" t="s">
        <v>12</v>
      </c>
      <c r="H51" s="898"/>
    </row>
    <row r="52" spans="1:9" x14ac:dyDescent="0.25">
      <c r="B52" s="288" t="s">
        <v>91</v>
      </c>
      <c r="C52" s="289" t="s">
        <v>281</v>
      </c>
      <c r="D52" s="290"/>
      <c r="E52" s="899"/>
      <c r="F52" s="899"/>
      <c r="G52" s="899"/>
      <c r="H52" s="900"/>
    </row>
    <row r="53" spans="1:9" x14ac:dyDescent="0.25">
      <c r="A53" s="176" t="s">
        <v>92</v>
      </c>
      <c r="B53" s="335" t="str">
        <f>IF(C53="","",$B$52&amp;"."&amp;COUNT($F$53:F53))</f>
        <v>2.1.0</v>
      </c>
      <c r="C53" s="192" t="s">
        <v>87</v>
      </c>
      <c r="D53" s="190" t="s">
        <v>25</v>
      </c>
      <c r="E53" s="857">
        <f>SUMIFS('2. DADOS DE ENTRADA'!C:C,'2. DADOS DE ENTRADA'!A:A,'5. COLETA URBANA SEDE.DISTRITOS'!A53,'2. DADOS DE ENTRADA'!B:B,'5. COLETA URBANA SEDE.DISTRITOS'!C52)</f>
        <v>0</v>
      </c>
      <c r="F53" s="901"/>
      <c r="G53" s="901"/>
      <c r="H53" s="859"/>
    </row>
    <row r="54" spans="1:9" x14ac:dyDescent="0.25">
      <c r="A54" s="176" t="s">
        <v>96</v>
      </c>
      <c r="B54" s="335" t="str">
        <f>IF(C54="","",$B$52&amp;"."&amp;COUNT($F$53:F54))</f>
        <v>2.1.1</v>
      </c>
      <c r="C54" s="192" t="s">
        <v>20</v>
      </c>
      <c r="D54" s="190" t="s">
        <v>21</v>
      </c>
      <c r="E54" s="857">
        <f>SUMIFS('2. DADOS DE ENTRADA'!C:C,'2. DADOS DE ENTRADA'!A:A,'5. COLETA URBANA SEDE.DISTRITOS'!A54,'2. DADOS DE ENTRADA'!B:B,'5. COLETA URBANA SEDE.DISTRITOS'!$C$52)</f>
        <v>120</v>
      </c>
      <c r="F54" s="858">
        <f>'3. PREÇOS UNITÁRIOS'!D24/'5. COLETA URBANA SEDE.DISTRITOS'!E54</f>
        <v>13.5584475</v>
      </c>
      <c r="G54" s="858">
        <f t="shared" ref="G54:G59" si="0">E54*F54</f>
        <v>1627.0137</v>
      </c>
      <c r="H54" s="859"/>
    </row>
    <row r="55" spans="1:9" x14ac:dyDescent="0.25">
      <c r="A55" s="176" t="s">
        <v>275</v>
      </c>
      <c r="B55" s="335" t="str">
        <f>IF(C55="","",$B$52&amp;"."&amp;COUNT($F$53:F55))</f>
        <v>2.1.2</v>
      </c>
      <c r="C55" s="192" t="s">
        <v>33</v>
      </c>
      <c r="D55" s="190" t="s">
        <v>1</v>
      </c>
      <c r="E55" s="902">
        <f>SUMIFS('2. DADOS DE ENTRADA'!C:C,'2. DADOS DE ENTRADA'!A:A,'5. COLETA URBANA SEDE.DISTRITOS'!A55,'2. DADOS DE ENTRADA'!B:B,'5. COLETA URBANA SEDE.DISTRITOS'!$C$52)</f>
        <v>0</v>
      </c>
      <c r="F55" s="858">
        <f>G54</f>
        <v>1627.0137</v>
      </c>
      <c r="G55" s="858">
        <f t="shared" si="0"/>
        <v>0</v>
      </c>
      <c r="H55" s="859"/>
    </row>
    <row r="56" spans="1:9" x14ac:dyDescent="0.25">
      <c r="A56" s="176" t="s">
        <v>88</v>
      </c>
      <c r="B56" s="335" t="str">
        <f>IF(C56="","",$B$52&amp;"."&amp;COUNT($F$53:F56))</f>
        <v>2.1.3</v>
      </c>
      <c r="C56" s="192" t="s">
        <v>22</v>
      </c>
      <c r="D56" s="190" t="s">
        <v>1</v>
      </c>
      <c r="E56" s="902">
        <f>SUMIFS('2. DADOS DE ENTRADA'!C:C,'2. DADOS DE ENTRADA'!A:A,'5. COLETA URBANA SEDE.DISTRITOS'!A56,'2. DADOS DE ENTRADA'!B:B,'5. COLETA URBANA SEDE.DISTRITOS'!$C$52)</f>
        <v>0.4</v>
      </c>
      <c r="F56" s="858">
        <f>'3. PREÇOS UNITÁRIOS'!D21</f>
        <v>1412</v>
      </c>
      <c r="G56" s="858">
        <f t="shared" si="0"/>
        <v>564.80000000000007</v>
      </c>
      <c r="H56" s="859"/>
      <c r="I56" s="432"/>
    </row>
    <row r="57" spans="1:9" x14ac:dyDescent="0.25">
      <c r="B57" s="335"/>
      <c r="C57" s="192"/>
      <c r="D57" s="190"/>
      <c r="E57" s="902"/>
      <c r="F57" s="858"/>
      <c r="G57" s="861">
        <f>SUM(G54:G56)</f>
        <v>2191.8137000000002</v>
      </c>
      <c r="H57" s="859"/>
      <c r="I57" s="432"/>
    </row>
    <row r="58" spans="1:9" x14ac:dyDescent="0.25">
      <c r="A58" s="176" t="s">
        <v>109</v>
      </c>
      <c r="B58" s="335" t="str">
        <f>IF(C58="","",$B$52&amp;"."&amp;COUNT($F$53:F58))</f>
        <v>2.1.4</v>
      </c>
      <c r="C58" s="189" t="s">
        <v>254</v>
      </c>
      <c r="D58" s="193" t="s">
        <v>35</v>
      </c>
      <c r="E58" s="862">
        <f>SUMIFS('2. DADOS DE ENTRADA'!D:D,'2. DADOS DE ENTRADA'!A:A,'5. COLETA URBANA SEDE.DISTRITOS'!A58,'2. DADOS DE ENTRADA'!B:B,'5. COLETA URBANA SEDE.DISTRITOS'!C52)</f>
        <v>0</v>
      </c>
      <c r="F58" s="858">
        <f>(G57/E54)*1.5</f>
        <v>27.397671250000002</v>
      </c>
      <c r="G58" s="858">
        <f t="shared" si="0"/>
        <v>0</v>
      </c>
      <c r="H58" s="884"/>
    </row>
    <row r="59" spans="1:9" x14ac:dyDescent="0.25">
      <c r="A59" s="435" t="s">
        <v>95</v>
      </c>
      <c r="B59" s="335" t="str">
        <f>IF(C59="","",$B$52&amp;"."&amp;COUNT($F$53:F59))</f>
        <v>2.1.5</v>
      </c>
      <c r="C59" s="189" t="s">
        <v>255</v>
      </c>
      <c r="D59" s="193" t="s">
        <v>35</v>
      </c>
      <c r="E59" s="862">
        <f>SUMIFS('2. DADOS DE ENTRADA'!D:D,'2. DADOS DE ENTRADA'!A:A,'5. COLETA URBANA SEDE.DISTRITOS'!A59,'2. DADOS DE ENTRADA'!B:B,'5. COLETA URBANA SEDE.DISTRITOS'!C52)</f>
        <v>0</v>
      </c>
      <c r="F59" s="858">
        <f>(G57/E54)*2</f>
        <v>36.530228333333334</v>
      </c>
      <c r="G59" s="858">
        <f t="shared" si="0"/>
        <v>0</v>
      </c>
      <c r="H59" s="884"/>
    </row>
    <row r="60" spans="1:9" x14ac:dyDescent="0.25">
      <c r="A60" s="379"/>
      <c r="B60" s="291" t="str">
        <f>IF(C60="","",$B$52&amp;"."&amp;COUNT($F$53:F60))</f>
        <v/>
      </c>
      <c r="C60" s="276"/>
      <c r="D60" s="276"/>
      <c r="E60" s="865"/>
      <c r="F60" s="866" t="s">
        <v>352</v>
      </c>
      <c r="G60" s="867">
        <f>G57+G58+G59</f>
        <v>2191.8137000000002</v>
      </c>
      <c r="H60" s="868"/>
    </row>
    <row r="61" spans="1:9" x14ac:dyDescent="0.25">
      <c r="A61" s="176" t="s">
        <v>273</v>
      </c>
      <c r="B61" s="335" t="str">
        <f>IF(C61="","",$B$52&amp;"."&amp;COUNT($F$53:F61))</f>
        <v>2.1.6</v>
      </c>
      <c r="C61" s="189" t="s">
        <v>23</v>
      </c>
      <c r="D61" s="193" t="s">
        <v>1</v>
      </c>
      <c r="E61" s="903">
        <f>SUMIFS('2. DADOS DE ENTRADA'!C:C,'2. DADOS DE ENTRADA'!A:A,'5. COLETA URBANA SEDE.DISTRITOS'!A61,'2. DADOS DE ENTRADA'!B:B,'5. COLETA URBANA SEDE.DISTRITOS'!$C$52)</f>
        <v>0.71101040000000004</v>
      </c>
      <c r="F61" s="858">
        <f>G60</f>
        <v>2191.8137000000002</v>
      </c>
      <c r="G61" s="858">
        <f>(E61)*F61</f>
        <v>1558.4023355624802</v>
      </c>
      <c r="H61" s="904"/>
    </row>
    <row r="62" spans="1:9" x14ac:dyDescent="0.25">
      <c r="A62" s="379"/>
      <c r="B62" s="291" t="str">
        <f>IF(C62="","",$B$52&amp;"."&amp;COUNT($F$53:F62))</f>
        <v/>
      </c>
      <c r="C62" s="276"/>
      <c r="D62" s="276"/>
      <c r="E62" s="865"/>
      <c r="F62" s="866" t="s">
        <v>352</v>
      </c>
      <c r="G62" s="867">
        <f>G61+G60</f>
        <v>3750.2160355624801</v>
      </c>
      <c r="H62" s="868"/>
    </row>
    <row r="63" spans="1:9" s="176" customFormat="1" x14ac:dyDescent="0.25">
      <c r="A63" s="379" t="s">
        <v>92</v>
      </c>
      <c r="B63" s="335" t="str">
        <f>IF(C63="","",$B$52&amp;"."&amp;COUNT($F$53:F63))</f>
        <v>2.1.7</v>
      </c>
      <c r="C63" s="189" t="s">
        <v>396</v>
      </c>
      <c r="D63" s="193" t="s">
        <v>25</v>
      </c>
      <c r="E63" s="862">
        <f>E53</f>
        <v>0</v>
      </c>
      <c r="F63" s="858">
        <f>G62</f>
        <v>3750.2160355624801</v>
      </c>
      <c r="G63" s="858">
        <f>F63*E63</f>
        <v>0</v>
      </c>
      <c r="H63" s="905"/>
    </row>
    <row r="64" spans="1:9" x14ac:dyDescent="0.25">
      <c r="A64" s="176" t="s">
        <v>104</v>
      </c>
      <c r="B64" s="335" t="str">
        <f>IF(C64="","",$B$52&amp;"."&amp;COUNT($F$53:F64))</f>
        <v>2.1.8</v>
      </c>
      <c r="C64" s="192" t="s">
        <v>29</v>
      </c>
      <c r="D64" s="190" t="s">
        <v>4</v>
      </c>
      <c r="E64" s="862">
        <f>SUMIFS('2. DADOS DE ENTRADA'!C:C,'2. DADOS DE ENTRADA'!A:A,'5. COLETA URBANA SEDE.DISTRITOS'!A64,'2. DADOS DE ENTRADA'!B:B,'5. COLETA URBANA SEDE.DISTRITOS'!$C$52)</f>
        <v>26</v>
      </c>
      <c r="F64" s="858">
        <f>'3. PREÇOS UNITÁRIOS'!D27/'5. COLETA URBANA SEDE.DISTRITOS'!E64</f>
        <v>12.594230769230769</v>
      </c>
      <c r="G64" s="858">
        <f>E64*F64</f>
        <v>327.45</v>
      </c>
      <c r="H64" s="871"/>
    </row>
    <row r="65" spans="1:8" x14ac:dyDescent="0.25">
      <c r="B65" s="335" t="str">
        <f>IF(C65="","",$B$52&amp;"."&amp;COUNT($F$53:F65))</f>
        <v>2.1.9</v>
      </c>
      <c r="C65" s="189" t="s">
        <v>395</v>
      </c>
      <c r="D65" s="193" t="s">
        <v>25</v>
      </c>
      <c r="E65" s="862">
        <f>E53</f>
        <v>0</v>
      </c>
      <c r="F65" s="858">
        <f>G64</f>
        <v>327.45</v>
      </c>
      <c r="G65" s="858">
        <f>E65*F65</f>
        <v>0</v>
      </c>
      <c r="H65" s="871"/>
    </row>
    <row r="66" spans="1:8" x14ac:dyDescent="0.25">
      <c r="B66" s="353" t="str">
        <f>IF(C66="","",$B$52&amp;"."&amp;COUNT($F$53:F66))</f>
        <v>2.1.10</v>
      </c>
      <c r="C66" s="354" t="s">
        <v>638</v>
      </c>
      <c r="D66" s="355" t="s">
        <v>25</v>
      </c>
      <c r="E66" s="906">
        <f>E65</f>
        <v>0</v>
      </c>
      <c r="F66" s="907">
        <f>'3. PREÇOS UNITÁRIOS'!D29</f>
        <v>40</v>
      </c>
      <c r="G66" s="907">
        <f>F66*E66</f>
        <v>0</v>
      </c>
      <c r="H66" s="908"/>
    </row>
    <row r="67" spans="1:8" x14ac:dyDescent="0.25">
      <c r="A67" s="379"/>
      <c r="B67" s="292" t="str">
        <f>IF(C67="","",$B$52&amp;"."&amp;COUNT($F$54:F68))</f>
        <v/>
      </c>
      <c r="C67" s="293"/>
      <c r="D67" s="293"/>
      <c r="E67" s="909"/>
      <c r="F67" s="874" t="s">
        <v>286</v>
      </c>
      <c r="G67" s="875">
        <f>G63+G65+G66</f>
        <v>0</v>
      </c>
      <c r="H67" s="910"/>
    </row>
    <row r="68" spans="1:8" x14ac:dyDescent="0.25">
      <c r="B68" s="335"/>
      <c r="C68" s="192"/>
      <c r="D68" s="190"/>
      <c r="E68" s="857"/>
      <c r="F68" s="901"/>
      <c r="G68" s="901"/>
      <c r="H68" s="859"/>
    </row>
    <row r="69" spans="1:8" x14ac:dyDescent="0.25">
      <c r="B69" s="288" t="s">
        <v>93</v>
      </c>
      <c r="C69" s="289" t="s">
        <v>261</v>
      </c>
      <c r="D69" s="290"/>
      <c r="E69" s="899"/>
      <c r="F69" s="899"/>
      <c r="G69" s="899"/>
      <c r="H69" s="900"/>
    </row>
    <row r="70" spans="1:8" x14ac:dyDescent="0.25">
      <c r="B70" s="362"/>
      <c r="C70" s="363"/>
      <c r="D70" s="364"/>
      <c r="E70" s="911"/>
      <c r="F70" s="912"/>
      <c r="G70" s="912"/>
      <c r="H70" s="913"/>
    </row>
    <row r="71" spans="1:8" x14ac:dyDescent="0.25">
      <c r="A71" s="176" t="s">
        <v>92</v>
      </c>
      <c r="B71" s="335" t="str">
        <f>IF(C71="","",$B$69&amp;"."&amp;COUNT($F$71:F71))</f>
        <v>2.2.0</v>
      </c>
      <c r="C71" s="192" t="s">
        <v>261</v>
      </c>
      <c r="D71" s="190" t="s">
        <v>25</v>
      </c>
      <c r="E71" s="857">
        <f>SUMIFS('2. DADOS DE ENTRADA'!C:C,'2. DADOS DE ENTRADA'!A:A,'5. COLETA URBANA SEDE.DISTRITOS'!A71,'2. DADOS DE ENTRADA'!B:B,'5. COLETA URBANA SEDE.DISTRITOS'!C69)</f>
        <v>0.3</v>
      </c>
      <c r="F71" s="901"/>
      <c r="G71" s="901"/>
      <c r="H71" s="859"/>
    </row>
    <row r="72" spans="1:8" x14ac:dyDescent="0.25">
      <c r="A72" s="176" t="s">
        <v>96</v>
      </c>
      <c r="B72" s="335" t="str">
        <f>IF(C72="","",$B$69&amp;"."&amp;COUNT($F$71:F72))</f>
        <v>2.2.1</v>
      </c>
      <c r="C72" s="192" t="s">
        <v>20</v>
      </c>
      <c r="D72" s="190" t="s">
        <v>21</v>
      </c>
      <c r="E72" s="857">
        <f>SUMIFS('2. DADOS DE ENTRADA'!C:C,'2. DADOS DE ENTRADA'!A:A,'5. COLETA URBANA SEDE.DISTRITOS'!A72,'2. DADOS DE ENTRADA'!B:B,'5. COLETA URBANA SEDE.DISTRITOS'!$C$69)</f>
        <v>120</v>
      </c>
      <c r="F72" s="858">
        <f>'3. PREÇOS UNITÁRIOS'!D25/'5. COLETA URBANA SEDE.DISTRITOS'!E72</f>
        <v>13.5584475</v>
      </c>
      <c r="G72" s="858">
        <f t="shared" ref="G72:G77" si="1">E72*F72</f>
        <v>1627.0137</v>
      </c>
      <c r="H72" s="859"/>
    </row>
    <row r="73" spans="1:8" x14ac:dyDescent="0.25">
      <c r="A73" s="176" t="s">
        <v>275</v>
      </c>
      <c r="B73" s="335" t="str">
        <f>IF(C73="","",$B$69&amp;"."&amp;COUNT($F$71:F73))</f>
        <v>2.2.2</v>
      </c>
      <c r="C73" s="192" t="s">
        <v>33</v>
      </c>
      <c r="D73" s="190" t="s">
        <v>1</v>
      </c>
      <c r="E73" s="902">
        <f>SUMIFS('2. DADOS DE ENTRADA'!C:C,'2. DADOS DE ENTRADA'!A:A,'5. COLETA URBANA SEDE.DISTRITOS'!A73,'2. DADOS DE ENTRADA'!B:B,'5. COLETA URBANA SEDE.DISTRITOS'!$C$69)</f>
        <v>0</v>
      </c>
      <c r="F73" s="858">
        <f>G72</f>
        <v>1627.0137</v>
      </c>
      <c r="G73" s="858">
        <f t="shared" si="1"/>
        <v>0</v>
      </c>
      <c r="H73" s="859"/>
    </row>
    <row r="74" spans="1:8" x14ac:dyDescent="0.25">
      <c r="A74" s="176" t="s">
        <v>88</v>
      </c>
      <c r="B74" s="335" t="str">
        <f>IF(C74="","",$B$69&amp;"."&amp;COUNT($F$71:F74))</f>
        <v>2.2.3</v>
      </c>
      <c r="C74" s="192" t="s">
        <v>22</v>
      </c>
      <c r="D74" s="190" t="s">
        <v>1</v>
      </c>
      <c r="E74" s="902">
        <f>SUMIFS('2. DADOS DE ENTRADA'!C:C,'2. DADOS DE ENTRADA'!A:A,'5. COLETA URBANA SEDE.DISTRITOS'!A74,'2. DADOS DE ENTRADA'!B:B,'5. COLETA URBANA SEDE.DISTRITOS'!$C$69)</f>
        <v>0.4</v>
      </c>
      <c r="F74" s="858">
        <f>'3. PREÇOS UNITÁRIOS'!D21</f>
        <v>1412</v>
      </c>
      <c r="G74" s="858">
        <f t="shared" si="1"/>
        <v>564.80000000000007</v>
      </c>
      <c r="H74" s="859"/>
    </row>
    <row r="75" spans="1:8" x14ac:dyDescent="0.25">
      <c r="B75" s="335"/>
      <c r="C75" s="192"/>
      <c r="D75" s="190"/>
      <c r="E75" s="902"/>
      <c r="F75" s="858"/>
      <c r="G75" s="861">
        <f>SUM(G72:G74)</f>
        <v>2191.8137000000002</v>
      </c>
      <c r="H75" s="859"/>
    </row>
    <row r="76" spans="1:8" x14ac:dyDescent="0.25">
      <c r="A76" s="176" t="s">
        <v>109</v>
      </c>
      <c r="B76" s="335" t="str">
        <f>IF(C76="","",$B$69&amp;"."&amp;COUNT($F$71:F76))</f>
        <v>2.2.4</v>
      </c>
      <c r="C76" s="189" t="s">
        <v>254</v>
      </c>
      <c r="D76" s="193" t="s">
        <v>35</v>
      </c>
      <c r="E76" s="862">
        <f>SUMIFS('2. DADOS DE ENTRADA'!D:D,'2. DADOS DE ENTRADA'!A:A,'5. COLETA URBANA SEDE.DISTRITOS'!A76,'2. DADOS DE ENTRADA'!B:B,'5. COLETA URBANA SEDE.DISTRITOS'!C69)*E71</f>
        <v>0</v>
      </c>
      <c r="F76" s="858">
        <f>(G75/E72)*1.5</f>
        <v>27.397671250000002</v>
      </c>
      <c r="G76" s="858">
        <f t="shared" si="1"/>
        <v>0</v>
      </c>
      <c r="H76" s="884"/>
    </row>
    <row r="77" spans="1:8" x14ac:dyDescent="0.25">
      <c r="A77" s="435" t="s">
        <v>95</v>
      </c>
      <c r="B77" s="335" t="str">
        <f>IF(C77="","",$B$69&amp;"."&amp;COUNT($F$71:F77))</f>
        <v>2.2.5</v>
      </c>
      <c r="C77" s="189" t="s">
        <v>255</v>
      </c>
      <c r="D77" s="193" t="s">
        <v>35</v>
      </c>
      <c r="E77" s="862">
        <f>SUMIFS('2. DADOS DE ENTRADA'!D:D,'2. DADOS DE ENTRADA'!A:A,'5. COLETA URBANA SEDE.DISTRITOS'!A77,'2. DADOS DE ENTRADA'!B:B,'5. COLETA URBANA SEDE.DISTRITOS'!C69)*E71</f>
        <v>0</v>
      </c>
      <c r="F77" s="858">
        <f>(G75/E72)*2</f>
        <v>36.530228333333334</v>
      </c>
      <c r="G77" s="858">
        <f t="shared" si="1"/>
        <v>0</v>
      </c>
      <c r="H77" s="884"/>
    </row>
    <row r="78" spans="1:8" x14ac:dyDescent="0.25">
      <c r="A78" s="379"/>
      <c r="B78" s="291" t="str">
        <f>IF(C78="","",$B$69&amp;"."&amp;COUNT($F$71:F78))</f>
        <v/>
      </c>
      <c r="C78" s="276"/>
      <c r="D78" s="276"/>
      <c r="E78" s="865"/>
      <c r="F78" s="866" t="s">
        <v>352</v>
      </c>
      <c r="G78" s="867">
        <f>G75+G76+G77</f>
        <v>2191.8137000000002</v>
      </c>
      <c r="H78" s="868"/>
    </row>
    <row r="79" spans="1:8" x14ac:dyDescent="0.25">
      <c r="A79" s="176" t="s">
        <v>273</v>
      </c>
      <c r="B79" s="335" t="str">
        <f>IF(C79="","",$B$69&amp;"."&amp;COUNT($F$71:F79))</f>
        <v>2.2.6</v>
      </c>
      <c r="C79" s="189" t="s">
        <v>23</v>
      </c>
      <c r="D79" s="193" t="s">
        <v>1</v>
      </c>
      <c r="E79" s="903">
        <f>SUMIFS('2. DADOS DE ENTRADA'!C:C,'2. DADOS DE ENTRADA'!A:A,'5. COLETA URBANA SEDE.DISTRITOS'!A79,'2. DADOS DE ENTRADA'!B:B,'5. COLETA URBANA SEDE.DISTRITOS'!$C$69)</f>
        <v>0.71101040000000004</v>
      </c>
      <c r="F79" s="858">
        <f>G78</f>
        <v>2191.8137000000002</v>
      </c>
      <c r="G79" s="858">
        <f>(E79)*F79</f>
        <v>1558.4023355624802</v>
      </c>
      <c r="H79" s="904"/>
    </row>
    <row r="80" spans="1:8" x14ac:dyDescent="0.25">
      <c r="A80" s="379"/>
      <c r="B80" s="291" t="str">
        <f>IF(C80="","",$B$69&amp;"."&amp;COUNT($F$71:F80))</f>
        <v/>
      </c>
      <c r="C80" s="276"/>
      <c r="D80" s="276"/>
      <c r="E80" s="865"/>
      <c r="F80" s="866" t="s">
        <v>352</v>
      </c>
      <c r="G80" s="867">
        <f>G78+G79</f>
        <v>3750.2160355624801</v>
      </c>
      <c r="H80" s="868"/>
    </row>
    <row r="81" spans="1:8" s="176" customFormat="1" ht="13.9" customHeight="1" x14ac:dyDescent="0.25">
      <c r="A81" s="379"/>
      <c r="B81" s="335" t="str">
        <f>IF(C81="","",$B$69&amp;"."&amp;COUNT($F$71:F81))</f>
        <v>2.2.7</v>
      </c>
      <c r="C81" s="189" t="s">
        <v>397</v>
      </c>
      <c r="D81" s="193" t="s">
        <v>25</v>
      </c>
      <c r="E81" s="862">
        <f>E71</f>
        <v>0.3</v>
      </c>
      <c r="F81" s="858">
        <f>G80</f>
        <v>3750.2160355624801</v>
      </c>
      <c r="G81" s="858">
        <f>F81*E81</f>
        <v>1125.064810668744</v>
      </c>
      <c r="H81" s="905"/>
    </row>
    <row r="82" spans="1:8" s="176" customFormat="1" x14ac:dyDescent="0.25">
      <c r="A82" s="176" t="s">
        <v>104</v>
      </c>
      <c r="B82" s="335" t="str">
        <f>IF(C82="","",$B$69&amp;"."&amp;COUNT($F$71:F82))</f>
        <v>2.2.8</v>
      </c>
      <c r="C82" s="192" t="s">
        <v>29</v>
      </c>
      <c r="D82" s="190" t="s">
        <v>4</v>
      </c>
      <c r="E82" s="862">
        <f>SUMIFS('2. DADOS DE ENTRADA'!C:C,'2. DADOS DE ENTRADA'!A:A,'5. COLETA URBANA SEDE.DISTRITOS'!A82,'2. DADOS DE ENTRADA'!B:B,'5. COLETA URBANA SEDE.DISTRITOS'!$C$69)</f>
        <v>26</v>
      </c>
      <c r="F82" s="858">
        <f>'3. PREÇOS UNITÁRIOS'!D27/'5. COLETA URBANA SEDE.DISTRITOS'!E82</f>
        <v>12.594230769230769</v>
      </c>
      <c r="G82" s="858">
        <f>E82*F82</f>
        <v>327.45</v>
      </c>
      <c r="H82" s="871"/>
    </row>
    <row r="83" spans="1:8" x14ac:dyDescent="0.25">
      <c r="A83" s="172"/>
      <c r="B83" s="335" t="str">
        <f>IF(C83="","",$B$69&amp;"."&amp;COUNT($F$71:F83))</f>
        <v>2.2.9</v>
      </c>
      <c r="C83" s="189" t="s">
        <v>397</v>
      </c>
      <c r="D83" s="193" t="s">
        <v>25</v>
      </c>
      <c r="E83" s="862">
        <f>E71</f>
        <v>0.3</v>
      </c>
      <c r="F83" s="858">
        <f>G82</f>
        <v>327.45</v>
      </c>
      <c r="G83" s="858">
        <f>E83*F83</f>
        <v>98.234999999999999</v>
      </c>
      <c r="H83" s="871"/>
    </row>
    <row r="84" spans="1:8" x14ac:dyDescent="0.25">
      <c r="A84" s="172"/>
      <c r="B84" s="353" t="str">
        <f>IF(C84="","",$B$69&amp;"."&amp;COUNT($F$71:F84))</f>
        <v>2.2.10</v>
      </c>
      <c r="C84" s="354" t="s">
        <v>638</v>
      </c>
      <c r="D84" s="355" t="s">
        <v>25</v>
      </c>
      <c r="E84" s="906">
        <f>E83</f>
        <v>0.3</v>
      </c>
      <c r="F84" s="907">
        <f>'3. PREÇOS UNITÁRIOS'!D29</f>
        <v>40</v>
      </c>
      <c r="G84" s="907">
        <f>F84*E84</f>
        <v>12</v>
      </c>
      <c r="H84" s="908"/>
    </row>
    <row r="85" spans="1:8" x14ac:dyDescent="0.25">
      <c r="B85" s="292"/>
      <c r="C85" s="293"/>
      <c r="D85" s="293"/>
      <c r="E85" s="909"/>
      <c r="F85" s="874" t="s">
        <v>287</v>
      </c>
      <c r="G85" s="875">
        <f>G81+G83+G84</f>
        <v>1235.2998106687439</v>
      </c>
      <c r="H85" s="910"/>
    </row>
    <row r="86" spans="1:8" x14ac:dyDescent="0.25">
      <c r="B86" s="294"/>
      <c r="C86" s="295"/>
      <c r="D86" s="295"/>
      <c r="E86" s="914" t="s">
        <v>37</v>
      </c>
      <c r="F86" s="914"/>
      <c r="G86" s="915">
        <f>G85+G67</f>
        <v>1235.2998106687439</v>
      </c>
      <c r="H86" s="916"/>
    </row>
    <row r="87" spans="1:8" s="176" customFormat="1" x14ac:dyDescent="0.25">
      <c r="B87" s="297"/>
      <c r="C87" s="298"/>
      <c r="D87" s="298"/>
      <c r="E87" s="917"/>
      <c r="F87" s="917"/>
      <c r="G87" s="918"/>
      <c r="H87" s="919"/>
    </row>
    <row r="88" spans="1:8" x14ac:dyDescent="0.25">
      <c r="B88" s="281" t="s">
        <v>17</v>
      </c>
      <c r="C88" s="282" t="s">
        <v>39</v>
      </c>
      <c r="D88" s="283"/>
      <c r="E88" s="893"/>
      <c r="F88" s="893"/>
      <c r="G88" s="893"/>
      <c r="H88" s="894"/>
    </row>
    <row r="89" spans="1:8" x14ac:dyDescent="0.25">
      <c r="B89" s="284"/>
      <c r="C89" s="285"/>
      <c r="D89" s="286"/>
      <c r="E89" s="895"/>
      <c r="F89" s="895"/>
      <c r="G89" s="895"/>
      <c r="H89" s="896"/>
    </row>
    <row r="90" spans="1:8" x14ac:dyDescent="0.25">
      <c r="B90" s="264" t="s">
        <v>7</v>
      </c>
      <c r="C90" s="266" t="s">
        <v>8</v>
      </c>
      <c r="D90" s="266" t="s">
        <v>9</v>
      </c>
      <c r="E90" s="920" t="s">
        <v>10</v>
      </c>
      <c r="F90" s="920" t="s">
        <v>11</v>
      </c>
      <c r="G90" s="920" t="s">
        <v>12</v>
      </c>
      <c r="H90" s="921"/>
    </row>
    <row r="91" spans="1:8" ht="29.25" x14ac:dyDescent="0.25">
      <c r="B91" s="271" t="s">
        <v>109</v>
      </c>
      <c r="C91" s="272" t="s">
        <v>40</v>
      </c>
      <c r="D91" s="273"/>
      <c r="E91" s="879"/>
      <c r="F91" s="879"/>
      <c r="G91" s="879"/>
      <c r="H91" s="880"/>
    </row>
    <row r="92" spans="1:8" x14ac:dyDescent="0.25">
      <c r="B92" s="335"/>
      <c r="C92" s="192"/>
      <c r="D92" s="192"/>
      <c r="E92" s="881"/>
      <c r="F92" s="881"/>
      <c r="G92" s="881"/>
      <c r="H92" s="871"/>
    </row>
    <row r="93" spans="1:8" x14ac:dyDescent="0.25">
      <c r="B93" s="288" t="s">
        <v>108</v>
      </c>
      <c r="C93" s="289" t="s">
        <v>97</v>
      </c>
      <c r="D93" s="290"/>
      <c r="E93" s="899"/>
      <c r="F93" s="899"/>
      <c r="G93" s="899"/>
      <c r="H93" s="900"/>
    </row>
    <row r="94" spans="1:8" x14ac:dyDescent="0.25">
      <c r="B94" s="362" t="s">
        <v>289</v>
      </c>
      <c r="C94" s="363" t="s">
        <v>41</v>
      </c>
      <c r="D94" s="364" t="s">
        <v>4</v>
      </c>
      <c r="E94" s="922">
        <f t="array" ref="E94:E100">TRANSPOSE('2. DADOS DE ENTRADA'!C175:I175)</f>
        <v>0.31334999999999996</v>
      </c>
      <c r="F94" s="923">
        <f>'3. PREÇOS UNITÁRIOS'!D10</f>
        <v>81.787999999999997</v>
      </c>
      <c r="G94" s="923">
        <f>F94*E94</f>
        <v>25.628269799999995</v>
      </c>
      <c r="H94" s="913"/>
    </row>
    <row r="95" spans="1:8" x14ac:dyDescent="0.25">
      <c r="B95" s="335" t="s">
        <v>372</v>
      </c>
      <c r="C95" s="192" t="s">
        <v>42</v>
      </c>
      <c r="D95" s="190" t="s">
        <v>4</v>
      </c>
      <c r="E95" s="924">
        <v>0.31334999999999996</v>
      </c>
      <c r="F95" s="858">
        <f>'3. PREÇOS UNITÁRIOS'!D11</f>
        <v>35.25</v>
      </c>
      <c r="G95" s="858">
        <f t="shared" ref="G95:G100" si="2">F95*E95</f>
        <v>11.045587499999998</v>
      </c>
      <c r="H95" s="859"/>
    </row>
    <row r="96" spans="1:8" x14ac:dyDescent="0.25">
      <c r="B96" s="335" t="s">
        <v>373</v>
      </c>
      <c r="C96" s="192" t="s">
        <v>43</v>
      </c>
      <c r="D96" s="190" t="s">
        <v>4</v>
      </c>
      <c r="E96" s="924">
        <v>0.31334999999999996</v>
      </c>
      <c r="F96" s="858">
        <f>'3. PREÇOS UNITÁRIOS'!D12</f>
        <v>70.696666666666673</v>
      </c>
      <c r="G96" s="858">
        <f t="shared" si="2"/>
        <v>22.152800499999998</v>
      </c>
      <c r="H96" s="859"/>
    </row>
    <row r="97" spans="2:8" x14ac:dyDescent="0.25">
      <c r="B97" s="335" t="s">
        <v>374</v>
      </c>
      <c r="C97" s="192" t="s">
        <v>46</v>
      </c>
      <c r="D97" s="190" t="s">
        <v>4</v>
      </c>
      <c r="E97" s="924">
        <v>0.15667499999999998</v>
      </c>
      <c r="F97" s="858">
        <f>'3. PREÇOS UNITÁRIOS'!D13</f>
        <v>13.563333333333333</v>
      </c>
      <c r="G97" s="858">
        <f t="shared" si="2"/>
        <v>2.1250352499999998</v>
      </c>
      <c r="H97" s="859"/>
    </row>
    <row r="98" spans="2:8" x14ac:dyDescent="0.25">
      <c r="B98" s="335" t="s">
        <v>375</v>
      </c>
      <c r="C98" s="192" t="s">
        <v>84</v>
      </c>
      <c r="D98" s="190" t="s">
        <v>4</v>
      </c>
      <c r="E98" s="924">
        <v>0</v>
      </c>
      <c r="F98" s="858">
        <f>'3. PREÇOS UNITÁRIOS'!D15</f>
        <v>98.023333333333326</v>
      </c>
      <c r="G98" s="858">
        <f t="shared" si="2"/>
        <v>0</v>
      </c>
      <c r="H98" s="859"/>
    </row>
    <row r="99" spans="2:8" x14ac:dyDescent="0.25">
      <c r="B99" s="335" t="s">
        <v>376</v>
      </c>
      <c r="C99" s="192" t="s">
        <v>116</v>
      </c>
      <c r="D99" s="190" t="s">
        <v>4</v>
      </c>
      <c r="E99" s="924">
        <v>0.20681099999999999</v>
      </c>
      <c r="F99" s="858">
        <f>'3. PREÇOS UNITÁRIOS'!D17</f>
        <v>6.7633333333333328</v>
      </c>
      <c r="G99" s="858">
        <f t="shared" si="2"/>
        <v>1.39873173</v>
      </c>
      <c r="H99" s="859"/>
    </row>
    <row r="100" spans="2:8" x14ac:dyDescent="0.25">
      <c r="B100" s="353" t="s">
        <v>377</v>
      </c>
      <c r="C100" s="354" t="s">
        <v>117</v>
      </c>
      <c r="D100" s="355" t="s">
        <v>4</v>
      </c>
      <c r="E100" s="925">
        <v>0.62669999999999992</v>
      </c>
      <c r="F100" s="907">
        <f>'3. PREÇOS UNITÁRIOS'!D18</f>
        <v>26.297499999999999</v>
      </c>
      <c r="G100" s="907">
        <f t="shared" si="2"/>
        <v>16.480643249999996</v>
      </c>
      <c r="H100" s="892"/>
    </row>
    <row r="101" spans="2:8" x14ac:dyDescent="0.25">
      <c r="B101" s="292"/>
      <c r="C101" s="293"/>
      <c r="D101" s="293"/>
      <c r="E101" s="909"/>
      <c r="F101" s="874" t="s">
        <v>36</v>
      </c>
      <c r="G101" s="875">
        <f>SUM(G94:G100)</f>
        <v>78.831068029999983</v>
      </c>
      <c r="H101" s="910"/>
    </row>
    <row r="102" spans="2:8" x14ac:dyDescent="0.25">
      <c r="B102" s="335"/>
      <c r="C102" s="192"/>
      <c r="D102" s="192"/>
      <c r="E102" s="881"/>
      <c r="F102" s="881"/>
      <c r="G102" s="881"/>
      <c r="H102" s="871"/>
    </row>
    <row r="103" spans="2:8" x14ac:dyDescent="0.25">
      <c r="B103" s="288" t="s">
        <v>75</v>
      </c>
      <c r="C103" s="289" t="s">
        <v>98</v>
      </c>
      <c r="D103" s="290"/>
      <c r="E103" s="899"/>
      <c r="F103" s="899"/>
      <c r="G103" s="899"/>
      <c r="H103" s="900"/>
    </row>
    <row r="104" spans="2:8" x14ac:dyDescent="0.25">
      <c r="B104" s="362" t="s">
        <v>290</v>
      </c>
      <c r="C104" s="363" t="s">
        <v>41</v>
      </c>
      <c r="D104" s="364" t="s">
        <v>4</v>
      </c>
      <c r="E104" s="922">
        <f t="array" ref="E104:E111">TRANSPOSE('2. DADOS DE ENTRADA'!C191:J191)</f>
        <v>9.9999999999999992E-2</v>
      </c>
      <c r="F104" s="926">
        <f>'3. PREÇOS UNITÁRIOS'!D10</f>
        <v>81.787999999999997</v>
      </c>
      <c r="G104" s="923">
        <f>E104*F104</f>
        <v>8.178799999999999</v>
      </c>
      <c r="H104" s="913"/>
    </row>
    <row r="105" spans="2:8" x14ac:dyDescent="0.25">
      <c r="B105" s="335" t="s">
        <v>378</v>
      </c>
      <c r="C105" s="192" t="s">
        <v>42</v>
      </c>
      <c r="D105" s="190" t="s">
        <v>4</v>
      </c>
      <c r="E105" s="924">
        <v>9.9999999999999992E-2</v>
      </c>
      <c r="F105" s="858">
        <f>'3. PREÇOS UNITÁRIOS'!D11</f>
        <v>35.25</v>
      </c>
      <c r="G105" s="858">
        <f t="shared" ref="G105:G111" si="3">E105*F105</f>
        <v>3.5249999999999999</v>
      </c>
      <c r="H105" s="859"/>
    </row>
    <row r="106" spans="2:8" x14ac:dyDescent="0.25">
      <c r="B106" s="335" t="s">
        <v>379</v>
      </c>
      <c r="C106" s="192" t="s">
        <v>43</v>
      </c>
      <c r="D106" s="190" t="s">
        <v>4</v>
      </c>
      <c r="E106" s="924">
        <v>9.9999999999999992E-2</v>
      </c>
      <c r="F106" s="927">
        <f>'3. PREÇOS UNITÁRIOS'!D12</f>
        <v>70.696666666666673</v>
      </c>
      <c r="G106" s="858">
        <f t="shared" si="3"/>
        <v>7.0696666666666665</v>
      </c>
      <c r="H106" s="859"/>
    </row>
    <row r="107" spans="2:8" x14ac:dyDescent="0.25">
      <c r="B107" s="335" t="s">
        <v>380</v>
      </c>
      <c r="C107" s="192" t="s">
        <v>46</v>
      </c>
      <c r="D107" s="190" t="s">
        <v>4</v>
      </c>
      <c r="E107" s="924">
        <v>4.9999999999999996E-2</v>
      </c>
      <c r="F107" s="927">
        <f>'3. PREÇOS UNITÁRIOS'!D13</f>
        <v>13.563333333333333</v>
      </c>
      <c r="G107" s="858">
        <f t="shared" si="3"/>
        <v>0.67816666666666658</v>
      </c>
      <c r="H107" s="859"/>
    </row>
    <row r="108" spans="2:8" x14ac:dyDescent="0.25">
      <c r="B108" s="335" t="s">
        <v>381</v>
      </c>
      <c r="C108" s="192" t="s">
        <v>44</v>
      </c>
      <c r="D108" s="190" t="s">
        <v>4</v>
      </c>
      <c r="E108" s="924">
        <v>4.9999999999999996E-2</v>
      </c>
      <c r="F108" s="927">
        <f>'3. PREÇOS UNITÁRIOS'!D14</f>
        <v>23.113333333333333</v>
      </c>
      <c r="G108" s="858">
        <f t="shared" si="3"/>
        <v>1.1556666666666666</v>
      </c>
      <c r="H108" s="859"/>
    </row>
    <row r="109" spans="2:8" x14ac:dyDescent="0.25">
      <c r="B109" s="335" t="s">
        <v>382</v>
      </c>
      <c r="C109" s="192" t="s">
        <v>84</v>
      </c>
      <c r="D109" s="190" t="s">
        <v>4</v>
      </c>
      <c r="E109" s="924">
        <v>2.4999999999999998E-2</v>
      </c>
      <c r="F109" s="927">
        <f>'3. PREÇOS UNITÁRIOS'!D15</f>
        <v>98.023333333333326</v>
      </c>
      <c r="G109" s="858">
        <f t="shared" si="3"/>
        <v>2.4505833333333329</v>
      </c>
      <c r="H109" s="859"/>
    </row>
    <row r="110" spans="2:8" x14ac:dyDescent="0.25">
      <c r="B110" s="335" t="s">
        <v>383</v>
      </c>
      <c r="C110" s="192" t="s">
        <v>116</v>
      </c>
      <c r="D110" s="190" t="s">
        <v>4</v>
      </c>
      <c r="E110" s="924">
        <v>0.15</v>
      </c>
      <c r="F110" s="927">
        <f>'3. PREÇOS UNITÁRIOS'!D17</f>
        <v>6.7633333333333328</v>
      </c>
      <c r="G110" s="858">
        <f t="shared" si="3"/>
        <v>1.0145</v>
      </c>
      <c r="H110" s="859"/>
    </row>
    <row r="111" spans="2:8" x14ac:dyDescent="0.25">
      <c r="B111" s="353" t="s">
        <v>384</v>
      </c>
      <c r="C111" s="354" t="s">
        <v>117</v>
      </c>
      <c r="D111" s="355" t="s">
        <v>4</v>
      </c>
      <c r="E111" s="925">
        <v>0.3</v>
      </c>
      <c r="F111" s="928">
        <f>'3. PREÇOS UNITÁRIOS'!D18</f>
        <v>26.297499999999999</v>
      </c>
      <c r="G111" s="907">
        <f t="shared" si="3"/>
        <v>7.8892499999999997</v>
      </c>
      <c r="H111" s="892"/>
    </row>
    <row r="112" spans="2:8" x14ac:dyDescent="0.25">
      <c r="B112" s="292"/>
      <c r="C112" s="293"/>
      <c r="D112" s="293"/>
      <c r="E112" s="909"/>
      <c r="F112" s="874" t="s">
        <v>36</v>
      </c>
      <c r="G112" s="875">
        <f>SUM(G104:G111)</f>
        <v>31.961633333333328</v>
      </c>
      <c r="H112" s="910"/>
    </row>
    <row r="113" spans="2:14" x14ac:dyDescent="0.25">
      <c r="B113" s="335"/>
      <c r="C113" s="192"/>
      <c r="D113" s="192"/>
      <c r="E113" s="924"/>
      <c r="F113" s="929"/>
      <c r="G113" s="858"/>
      <c r="H113" s="859"/>
    </row>
    <row r="114" spans="2:14" x14ac:dyDescent="0.25">
      <c r="B114" s="288" t="s">
        <v>107</v>
      </c>
      <c r="C114" s="289" t="s">
        <v>45</v>
      </c>
      <c r="D114" s="290"/>
      <c r="E114" s="899"/>
      <c r="F114" s="899"/>
      <c r="G114" s="899"/>
      <c r="H114" s="900"/>
    </row>
    <row r="115" spans="2:14" x14ac:dyDescent="0.25">
      <c r="B115" s="362" t="s">
        <v>291</v>
      </c>
      <c r="C115" s="363" t="s">
        <v>41</v>
      </c>
      <c r="D115" s="364" t="s">
        <v>4</v>
      </c>
      <c r="E115" s="922">
        <f t="array" ref="E115:E122">TRANSPOSE('2. DADOS DE ENTRADA'!C206:J206)</f>
        <v>0.75</v>
      </c>
      <c r="F115" s="926">
        <f>'3. PREÇOS UNITÁRIOS'!D10</f>
        <v>81.787999999999997</v>
      </c>
      <c r="G115" s="926">
        <f>E115*F115</f>
        <v>61.340999999999994</v>
      </c>
      <c r="H115" s="913"/>
    </row>
    <row r="116" spans="2:14" x14ac:dyDescent="0.25">
      <c r="B116" s="335" t="s">
        <v>385</v>
      </c>
      <c r="C116" s="192" t="s">
        <v>42</v>
      </c>
      <c r="D116" s="190" t="s">
        <v>4</v>
      </c>
      <c r="E116" s="924">
        <v>0.75</v>
      </c>
      <c r="F116" s="927">
        <f>'3. PREÇOS UNITÁRIOS'!D11</f>
        <v>35.25</v>
      </c>
      <c r="G116" s="927">
        <f t="shared" ref="G116:G122" si="4">E116*F116</f>
        <v>26.4375</v>
      </c>
      <c r="H116" s="859"/>
    </row>
    <row r="117" spans="2:14" x14ac:dyDescent="0.25">
      <c r="B117" s="335" t="s">
        <v>386</v>
      </c>
      <c r="C117" s="192" t="s">
        <v>115</v>
      </c>
      <c r="D117" s="190" t="s">
        <v>4</v>
      </c>
      <c r="E117" s="924">
        <v>0.75</v>
      </c>
      <c r="F117" s="927">
        <f>'3. PREÇOS UNITÁRIOS'!D12</f>
        <v>70.696666666666673</v>
      </c>
      <c r="G117" s="927">
        <f t="shared" si="4"/>
        <v>53.022500000000008</v>
      </c>
      <c r="H117" s="859"/>
    </row>
    <row r="118" spans="2:14" x14ac:dyDescent="0.25">
      <c r="B118" s="335" t="s">
        <v>387</v>
      </c>
      <c r="C118" s="192" t="s">
        <v>46</v>
      </c>
      <c r="D118" s="190" t="s">
        <v>4</v>
      </c>
      <c r="E118" s="924">
        <v>0.375</v>
      </c>
      <c r="F118" s="927">
        <f>'3. PREÇOS UNITÁRIOS'!D13</f>
        <v>13.563333333333333</v>
      </c>
      <c r="G118" s="927">
        <f t="shared" si="4"/>
        <v>5.0862499999999997</v>
      </c>
      <c r="H118" s="859"/>
    </row>
    <row r="119" spans="2:14" x14ac:dyDescent="0.25">
      <c r="B119" s="335" t="s">
        <v>388</v>
      </c>
      <c r="C119" s="189" t="s">
        <v>84</v>
      </c>
      <c r="D119" s="190" t="s">
        <v>4</v>
      </c>
      <c r="E119" s="924">
        <v>0.375</v>
      </c>
      <c r="F119" s="927">
        <f>'3. PREÇOS UNITÁRIOS'!D15</f>
        <v>98.023333333333326</v>
      </c>
      <c r="G119" s="927">
        <f t="shared" si="4"/>
        <v>36.758749999999999</v>
      </c>
      <c r="H119" s="859"/>
    </row>
    <row r="120" spans="2:14" x14ac:dyDescent="0.25">
      <c r="B120" s="335" t="s">
        <v>389</v>
      </c>
      <c r="C120" s="192" t="s">
        <v>47</v>
      </c>
      <c r="D120" s="190" t="s">
        <v>4</v>
      </c>
      <c r="E120" s="924">
        <v>3</v>
      </c>
      <c r="F120" s="927">
        <f>'3. PREÇOS UNITÁRIOS'!D16</f>
        <v>14.2325</v>
      </c>
      <c r="G120" s="927">
        <f t="shared" si="4"/>
        <v>42.697499999999998</v>
      </c>
      <c r="H120" s="859"/>
    </row>
    <row r="121" spans="2:14" x14ac:dyDescent="0.25">
      <c r="B121" s="335" t="s">
        <v>390</v>
      </c>
      <c r="C121" s="192" t="s">
        <v>116</v>
      </c>
      <c r="D121" s="190" t="s">
        <v>4</v>
      </c>
      <c r="E121" s="924">
        <v>0.75</v>
      </c>
      <c r="F121" s="927">
        <f>'3. PREÇOS UNITÁRIOS'!D17</f>
        <v>6.7633333333333328</v>
      </c>
      <c r="G121" s="927">
        <f t="shared" si="4"/>
        <v>5.0724999999999998</v>
      </c>
      <c r="H121" s="859"/>
    </row>
    <row r="122" spans="2:14" x14ac:dyDescent="0.25">
      <c r="B122" s="353" t="s">
        <v>391</v>
      </c>
      <c r="C122" s="354" t="s">
        <v>117</v>
      </c>
      <c r="D122" s="355" t="s">
        <v>4</v>
      </c>
      <c r="E122" s="925">
        <v>1.5</v>
      </c>
      <c r="F122" s="928">
        <f>'3. PREÇOS UNITÁRIOS'!D18</f>
        <v>26.297499999999999</v>
      </c>
      <c r="G122" s="928">
        <f t="shared" si="4"/>
        <v>39.446249999999999</v>
      </c>
      <c r="H122" s="892"/>
    </row>
    <row r="123" spans="2:14" x14ac:dyDescent="0.25">
      <c r="B123" s="299"/>
      <c r="C123" s="300"/>
      <c r="D123" s="300"/>
      <c r="E123" s="930"/>
      <c r="F123" s="866" t="s">
        <v>36</v>
      </c>
      <c r="G123" s="867">
        <f>SUM(G115:G122)</f>
        <v>269.86224999999996</v>
      </c>
      <c r="H123" s="931"/>
    </row>
    <row r="124" spans="2:14" x14ac:dyDescent="0.25">
      <c r="B124" s="301"/>
      <c r="C124" s="296"/>
      <c r="D124" s="296"/>
      <c r="E124" s="915" t="s">
        <v>292</v>
      </c>
      <c r="F124" s="915"/>
      <c r="G124" s="915">
        <f>G123+G112+G101</f>
        <v>380.65495136333328</v>
      </c>
      <c r="H124" s="932"/>
    </row>
    <row r="125" spans="2:14" s="176" customFormat="1" x14ac:dyDescent="0.25">
      <c r="B125" s="302"/>
      <c r="C125" s="303"/>
      <c r="D125" s="303"/>
      <c r="E125" s="933"/>
      <c r="F125" s="933"/>
      <c r="G125" s="933"/>
      <c r="H125" s="934"/>
    </row>
    <row r="126" spans="2:14" s="176" customFormat="1" x14ac:dyDescent="0.25">
      <c r="B126" s="301"/>
      <c r="C126" s="296"/>
      <c r="D126" s="296"/>
      <c r="E126" s="915" t="s">
        <v>620</v>
      </c>
      <c r="F126" s="915"/>
      <c r="G126" s="915">
        <f>G86+G46+G124</f>
        <v>11133.475244662877</v>
      </c>
      <c r="H126" s="932"/>
    </row>
    <row r="127" spans="2:14" x14ac:dyDescent="0.25">
      <c r="B127" s="373"/>
      <c r="C127" s="374"/>
      <c r="D127" s="374"/>
      <c r="E127" s="935"/>
      <c r="F127" s="935"/>
      <c r="G127" s="936"/>
      <c r="H127" s="937"/>
    </row>
    <row r="128" spans="2:14" s="176" customFormat="1" x14ac:dyDescent="0.25">
      <c r="B128" s="281" t="s">
        <v>38</v>
      </c>
      <c r="C128" s="282" t="s">
        <v>6</v>
      </c>
      <c r="D128" s="283"/>
      <c r="E128" s="893"/>
      <c r="F128" s="893"/>
      <c r="G128" s="893"/>
      <c r="H128" s="894"/>
      <c r="I128" s="172"/>
      <c r="J128" s="172"/>
      <c r="K128" s="172"/>
      <c r="L128" s="172"/>
      <c r="M128" s="172"/>
      <c r="N128" s="172"/>
    </row>
    <row r="129" spans="1:14" s="176" customFormat="1" x14ac:dyDescent="0.25">
      <c r="B129" s="284"/>
      <c r="C129" s="285"/>
      <c r="D129" s="286"/>
      <c r="E129" s="895"/>
      <c r="F129" s="895"/>
      <c r="G129" s="895"/>
      <c r="H129" s="896"/>
    </row>
    <row r="130" spans="1:14" s="176" customFormat="1" x14ac:dyDescent="0.25">
      <c r="B130" s="268" t="s">
        <v>7</v>
      </c>
      <c r="C130" s="305" t="s">
        <v>8</v>
      </c>
      <c r="D130" s="269" t="s">
        <v>9</v>
      </c>
      <c r="E130" s="938" t="s">
        <v>10</v>
      </c>
      <c r="F130" s="938" t="s">
        <v>11</v>
      </c>
      <c r="G130" s="938" t="s">
        <v>12</v>
      </c>
      <c r="H130" s="939"/>
      <c r="I130" s="172"/>
      <c r="J130" s="172"/>
      <c r="K130" s="172"/>
      <c r="L130" s="172"/>
      <c r="M130" s="172"/>
      <c r="N130" s="172"/>
    </row>
    <row r="131" spans="1:14" s="176" customFormat="1" x14ac:dyDescent="0.25">
      <c r="B131" s="288" t="s">
        <v>95</v>
      </c>
      <c r="C131" s="289" t="s">
        <v>13</v>
      </c>
      <c r="D131" s="290"/>
      <c r="E131" s="899"/>
      <c r="F131" s="899"/>
      <c r="G131" s="899"/>
      <c r="H131" s="900"/>
      <c r="I131" s="172"/>
      <c r="J131" s="172"/>
      <c r="K131" s="172"/>
      <c r="L131" s="172"/>
      <c r="M131" s="172"/>
      <c r="N131" s="172"/>
    </row>
    <row r="132" spans="1:14" s="176" customFormat="1" ht="26.65" customHeight="1" x14ac:dyDescent="0.25">
      <c r="A132" s="176" t="s">
        <v>275</v>
      </c>
      <c r="B132" s="375" t="str">
        <f>IF(C132="","",$B$131&amp;"."&amp;COUNT($F$132:F132))</f>
        <v>4.1.1</v>
      </c>
      <c r="C132" s="212" t="str">
        <f>'2. DADOS DE ENTRADA'!B215</f>
        <v>Caminhão para caçamba coletora compactadora com capacidade mínima de 15 m³ - Operando em 2 turnos</v>
      </c>
      <c r="D132" s="203" t="s">
        <v>4</v>
      </c>
      <c r="E132" s="940">
        <f>SUMIFS('2. DADOS DE ENTRADA'!E:E,'2. DADOS DE ENTRADA'!A:A,'5. COLETA URBANA SEDE.DISTRITOS'!A132,'2. DADOS DE ENTRADA'!B:B,'5. COLETA URBANA SEDE.DISTRITOS'!C132)</f>
        <v>0</v>
      </c>
      <c r="F132" s="941">
        <f>'3. PREÇOS UNITÁRIOS'!D35</f>
        <v>234125</v>
      </c>
      <c r="G132" s="941">
        <f t="shared" ref="G132:G140" si="5">E132*F132</f>
        <v>0</v>
      </c>
      <c r="H132" s="942"/>
      <c r="I132" s="172"/>
      <c r="J132" s="172"/>
      <c r="K132" s="172"/>
      <c r="L132" s="172"/>
      <c r="M132" s="172"/>
      <c r="N132" s="172"/>
    </row>
    <row r="133" spans="1:14" s="176" customFormat="1" ht="26.65" customHeight="1" x14ac:dyDescent="0.25">
      <c r="A133" s="176" t="s">
        <v>275</v>
      </c>
      <c r="B133" s="375" t="str">
        <f>IF(C133="","",$B$131&amp;"."&amp;COUNT($F$132:F133))</f>
        <v>4.1.2</v>
      </c>
      <c r="C133" s="212" t="str">
        <f>'2. DADOS DE ENTRADA'!B216</f>
        <v>Caminhão para caçamba coletora compactadora com capacidade mínima de 15 m³ -  Operando em 1 turno</v>
      </c>
      <c r="D133" s="203" t="s">
        <v>4</v>
      </c>
      <c r="E133" s="940">
        <f>SUMIFS('2. DADOS DE ENTRADA'!E:E,'2. DADOS DE ENTRADA'!A:A,'5. COLETA URBANA SEDE.DISTRITOS'!A133,'2. DADOS DE ENTRADA'!B:B,'5. COLETA URBANA SEDE.DISTRITOS'!C133)</f>
        <v>0.7</v>
      </c>
      <c r="F133" s="941">
        <f>'3. PREÇOS UNITÁRIOS'!D35</f>
        <v>234125</v>
      </c>
      <c r="G133" s="941">
        <f t="shared" si="5"/>
        <v>163887.5</v>
      </c>
      <c r="H133" s="942"/>
      <c r="I133" s="172"/>
      <c r="J133" s="172"/>
      <c r="K133" s="172"/>
      <c r="L133" s="172"/>
      <c r="M133" s="172"/>
      <c r="N133" s="172"/>
    </row>
    <row r="134" spans="1:14" s="176" customFormat="1" ht="42.75" x14ac:dyDescent="0.25">
      <c r="A134" s="176" t="s">
        <v>275</v>
      </c>
      <c r="B134" s="375" t="str">
        <f>IF(C134="","",$B$131&amp;"."&amp;COUNT($F$132:F134))</f>
        <v>4.1.3</v>
      </c>
      <c r="C134" s="212" t="str">
        <f>'2. DADOS DE ENTRADA'!B217</f>
        <v xml:space="preserve">Caminhão para caçamba coletora compactadora com capacidade mínima de 15 m³ - Reserva </v>
      </c>
      <c r="D134" s="203" t="s">
        <v>4</v>
      </c>
      <c r="E134" s="940">
        <f>SUMIFS('2. DADOS DE ENTRADA'!E:E,'2. DADOS DE ENTRADA'!A:A,'5. COLETA URBANA SEDE.DISTRITOS'!A134,'2. DADOS DE ENTRADA'!B:B,'5. COLETA URBANA SEDE.DISTRITOS'!C134)</f>
        <v>0</v>
      </c>
      <c r="F134" s="941">
        <f>'3. PREÇOS UNITÁRIOS'!D35</f>
        <v>234125</v>
      </c>
      <c r="G134" s="941">
        <f t="shared" si="5"/>
        <v>0</v>
      </c>
      <c r="H134" s="942"/>
      <c r="I134" s="172"/>
      <c r="J134" s="172"/>
      <c r="K134" s="172"/>
      <c r="L134" s="172"/>
      <c r="M134" s="172"/>
      <c r="N134" s="172"/>
    </row>
    <row r="135" spans="1:14" s="176" customFormat="1" ht="28.5" x14ac:dyDescent="0.25">
      <c r="B135" s="375" t="str">
        <f>IF(C135="","",$B$131&amp;"."&amp;COUNT($F$132:F135))</f>
        <v>4.1.4</v>
      </c>
      <c r="C135" s="212" t="str">
        <f>'2. DADOS DE ENTRADA'!B224</f>
        <v>Caçamba compactadora de 15m³- operando em 2 turnos</v>
      </c>
      <c r="D135" s="203" t="s">
        <v>4</v>
      </c>
      <c r="E135" s="940">
        <f>SUMIFS('2. DADOS DE ENTRADA'!E:E,'2. DADOS DE ENTRADA'!A:A,'5. COLETA URBANA SEDE.DISTRITOS'!A132,'2. DADOS DE ENTRADA'!B:B,'5. COLETA URBANA SEDE.DISTRITOS'!C135)</f>
        <v>0</v>
      </c>
      <c r="F135" s="941">
        <f>'3. PREÇOS UNITÁRIOS'!D36</f>
        <v>81966.28</v>
      </c>
      <c r="G135" s="941">
        <f t="shared" si="5"/>
        <v>0</v>
      </c>
      <c r="H135" s="942"/>
      <c r="I135" s="172"/>
      <c r="J135" s="172"/>
      <c r="K135" s="172"/>
      <c r="L135" s="172"/>
      <c r="M135" s="172"/>
      <c r="N135" s="172"/>
    </row>
    <row r="136" spans="1:14" s="176" customFormat="1" ht="28.5" x14ac:dyDescent="0.25">
      <c r="B136" s="375" t="str">
        <f>IF(C136="","",$B$131&amp;"."&amp;COUNT($F$132:F136))</f>
        <v>4.1.5</v>
      </c>
      <c r="C136" s="212" t="str">
        <f>'2. DADOS DE ENTRADA'!B225</f>
        <v>Caçamba compactadora de 15m³ - Operando em 1 turno</v>
      </c>
      <c r="D136" s="203"/>
      <c r="E136" s="940">
        <f>SUMIFS('2. DADOS DE ENTRADA'!E:E,'2. DADOS DE ENTRADA'!A:A,'5. COLETA URBANA SEDE.DISTRITOS'!A133,'2. DADOS DE ENTRADA'!B:B,'5. COLETA URBANA SEDE.DISTRITOS'!C136)</f>
        <v>0.7</v>
      </c>
      <c r="F136" s="941">
        <f>'3. PREÇOS UNITÁRIOS'!D36</f>
        <v>81966.28</v>
      </c>
      <c r="G136" s="941">
        <f t="shared" si="5"/>
        <v>57376.395999999993</v>
      </c>
      <c r="H136" s="942"/>
      <c r="I136" s="172"/>
      <c r="J136" s="172"/>
      <c r="K136" s="172"/>
      <c r="L136" s="172"/>
      <c r="M136" s="172"/>
      <c r="N136" s="172"/>
    </row>
    <row r="137" spans="1:14" s="176" customFormat="1" x14ac:dyDescent="0.25">
      <c r="B137" s="375" t="str">
        <f>IF(C137="","",$B$131&amp;"."&amp;COUNT($F$132:F137))</f>
        <v>4.1.6</v>
      </c>
      <c r="C137" s="212" t="str">
        <f>'2. DADOS DE ENTRADA'!B226</f>
        <v xml:space="preserve">Caçamba compactadora de 15m³ - Reserva </v>
      </c>
      <c r="D137" s="203" t="s">
        <v>4</v>
      </c>
      <c r="E137" s="940">
        <f>SUMIFS('2. DADOS DE ENTRADA'!E:E,'2. DADOS DE ENTRADA'!A:A,'5. COLETA URBANA SEDE.DISTRITOS'!A134,'2. DADOS DE ENTRADA'!B:B,'5. COLETA URBANA SEDE.DISTRITOS'!C137)</f>
        <v>0</v>
      </c>
      <c r="F137" s="941">
        <f>'3. PREÇOS UNITÁRIOS'!D36</f>
        <v>81966.28</v>
      </c>
      <c r="G137" s="941">
        <f t="shared" si="5"/>
        <v>0</v>
      </c>
      <c r="H137" s="942"/>
      <c r="I137" s="172"/>
      <c r="J137" s="172"/>
      <c r="K137" s="172"/>
      <c r="L137" s="172"/>
      <c r="M137" s="172"/>
      <c r="N137" s="172"/>
    </row>
    <row r="138" spans="1:14" s="176" customFormat="1" ht="28.5" x14ac:dyDescent="0.25">
      <c r="A138" s="176" t="s">
        <v>275</v>
      </c>
      <c r="B138" s="375" t="str">
        <f>IF(C138="","",$B$131&amp;"."&amp;COUNT($F$132:F138))</f>
        <v>4.1.7</v>
      </c>
      <c r="C138" s="214" t="str">
        <f>'2. DADOS DE ENTRADA'!B221</f>
        <v>Dispositivo para coleta mecanizada (conteinerizada) em 1 turnos</v>
      </c>
      <c r="D138" s="208" t="s">
        <v>4</v>
      </c>
      <c r="E138" s="940">
        <f>SUMIFS('2. DADOS DE ENTRADA'!E:E,'2. DADOS DE ENTRADA'!A:A,'5. COLETA URBANA SEDE.DISTRITOS'!A138,'2. DADOS DE ENTRADA'!B:B,'5. COLETA URBANA SEDE.DISTRITOS'!C138)</f>
        <v>0</v>
      </c>
      <c r="F138" s="941">
        <f>'3. PREÇOS UNITÁRIOS'!D37</f>
        <v>6650.619999999999</v>
      </c>
      <c r="G138" s="941">
        <f t="shared" si="5"/>
        <v>0</v>
      </c>
      <c r="H138" s="942"/>
      <c r="I138" s="172"/>
      <c r="J138" s="172"/>
      <c r="K138" s="172"/>
      <c r="L138" s="172"/>
      <c r="M138" s="172"/>
      <c r="N138" s="172"/>
    </row>
    <row r="139" spans="1:14" s="176" customFormat="1" ht="28.5" x14ac:dyDescent="0.25">
      <c r="A139" s="176" t="s">
        <v>275</v>
      </c>
      <c r="B139" s="375" t="str">
        <f>IF(C139="","",$B$131&amp;"."&amp;COUNT($F$132:F139))</f>
        <v>4.1.8</v>
      </c>
      <c r="C139" s="214" t="str">
        <f>'2. DADOS DE ENTRADA'!B222</f>
        <v>Dispositivo para coleta mecanizada (conteinerizada) - Reserva</v>
      </c>
      <c r="D139" s="208" t="s">
        <v>4</v>
      </c>
      <c r="E139" s="940">
        <f>SUMIFS('2. DADOS DE ENTRADA'!E:E,'2. DADOS DE ENTRADA'!A:A,'5. COLETA URBANA SEDE.DISTRITOS'!A139,'2. DADOS DE ENTRADA'!B:B,'5. COLETA URBANA SEDE.DISTRITOS'!C139)</f>
        <v>0</v>
      </c>
      <c r="F139" s="941">
        <f>'3. PREÇOS UNITÁRIOS'!D37</f>
        <v>6650.619999999999</v>
      </c>
      <c r="G139" s="941">
        <f t="shared" si="5"/>
        <v>0</v>
      </c>
      <c r="H139" s="942"/>
      <c r="I139" s="172"/>
      <c r="J139" s="172"/>
      <c r="K139" s="172"/>
      <c r="L139" s="172"/>
      <c r="M139" s="172"/>
      <c r="N139" s="172"/>
    </row>
    <row r="140" spans="1:14" s="176" customFormat="1" x14ac:dyDescent="0.25">
      <c r="B140" s="375" t="str">
        <f>IF(C140="","",$B$131&amp;"."&amp;COUNT($F$132:F140))</f>
        <v>4.1.9</v>
      </c>
      <c r="C140" s="377" t="str">
        <f>'2. DADOS DE ENTRADA'!B238</f>
        <v>Contentor 1 m³</v>
      </c>
      <c r="D140" s="208" t="s">
        <v>4</v>
      </c>
      <c r="E140" s="940">
        <f>SUMIFS('2. DADOS DE ENTRADA'!E:E,'2. DADOS DE ENTRADA'!A:A,'5. COLETA URBANA SEDE.DISTRITOS'!A139,'2. DADOS DE ENTRADA'!B:B,'5. COLETA URBANA SEDE.DISTRITOS'!C140)</f>
        <v>0</v>
      </c>
      <c r="F140" s="941">
        <f>'3. PREÇOS UNITÁRIOS'!D39</f>
        <v>1800.25</v>
      </c>
      <c r="G140" s="941">
        <f t="shared" si="5"/>
        <v>0</v>
      </c>
      <c r="H140" s="943"/>
      <c r="I140" s="172"/>
      <c r="J140" s="172"/>
      <c r="K140" s="172"/>
      <c r="L140" s="172"/>
      <c r="M140" s="172"/>
      <c r="N140" s="172"/>
    </row>
    <row r="141" spans="1:14" s="176" customFormat="1" x14ac:dyDescent="0.25">
      <c r="B141" s="306"/>
      <c r="C141" s="278"/>
      <c r="D141" s="278"/>
      <c r="E141" s="873"/>
      <c r="F141" s="874" t="s">
        <v>36</v>
      </c>
      <c r="G141" s="875">
        <f>SUM(G132:G140)</f>
        <v>221263.89600000001</v>
      </c>
      <c r="H141" s="944"/>
      <c r="I141" s="172"/>
      <c r="J141" s="172"/>
      <c r="K141" s="172"/>
      <c r="L141" s="172"/>
      <c r="M141" s="172"/>
      <c r="N141" s="172"/>
    </row>
    <row r="142" spans="1:14" s="176" customFormat="1" ht="16.5" x14ac:dyDescent="0.3">
      <c r="B142" s="378"/>
      <c r="C142" s="379"/>
      <c r="D142" s="379"/>
      <c r="E142" s="945"/>
      <c r="F142" s="877"/>
      <c r="G142" s="861"/>
      <c r="H142" s="905"/>
      <c r="J142" s="167"/>
      <c r="K142" s="172"/>
    </row>
    <row r="143" spans="1:14" s="176" customFormat="1" x14ac:dyDescent="0.25">
      <c r="B143" s="271" t="s">
        <v>94</v>
      </c>
      <c r="C143" s="272" t="s">
        <v>360</v>
      </c>
      <c r="D143" s="273"/>
      <c r="E143" s="879"/>
      <c r="F143" s="879"/>
      <c r="G143" s="879"/>
      <c r="H143" s="880"/>
      <c r="I143" s="172"/>
      <c r="J143" s="172"/>
      <c r="K143" s="172"/>
      <c r="L143" s="172"/>
      <c r="M143" s="172"/>
      <c r="N143" s="172"/>
    </row>
    <row r="144" spans="1:14" s="176" customFormat="1" x14ac:dyDescent="0.25">
      <c r="A144" s="176" t="s">
        <v>275</v>
      </c>
      <c r="B144" s="380" t="str">
        <f>IF(C144="","",$B$143&amp;"."&amp;COUNT($F$144:F144))</f>
        <v>4.2.1</v>
      </c>
      <c r="C144" s="189" t="str">
        <f>'2. DADOS DE ENTRADA'!B228</f>
        <v>Veículo de apoio tipo picape.</v>
      </c>
      <c r="D144" s="193" t="s">
        <v>4</v>
      </c>
      <c r="E144" s="946">
        <f>SUMIFS('2. DADOS DE ENTRADA'!E:E,'2. DADOS DE ENTRADA'!A:A,'5. COLETA URBANA SEDE.DISTRITOS'!A144,'2. DADOS DE ENTRADA'!B:B,'5. COLETA URBANA SEDE.DISTRITOS'!C144)</f>
        <v>0</v>
      </c>
      <c r="F144" s="927">
        <f>'3. PREÇOS UNITÁRIOS'!D38</f>
        <v>0</v>
      </c>
      <c r="G144" s="927">
        <f>E144*F144</f>
        <v>0</v>
      </c>
      <c r="H144" s="904"/>
      <c r="I144" s="172"/>
      <c r="J144" s="172"/>
      <c r="K144" s="172"/>
      <c r="L144" s="172"/>
      <c r="M144" s="172"/>
      <c r="N144" s="172"/>
    </row>
    <row r="145" spans="2:12" x14ac:dyDescent="0.25">
      <c r="B145" s="299"/>
      <c r="C145" s="300"/>
      <c r="D145" s="300"/>
      <c r="E145" s="930"/>
      <c r="F145" s="866" t="s">
        <v>36</v>
      </c>
      <c r="G145" s="867">
        <f>SUM(G144:G144)</f>
        <v>0</v>
      </c>
      <c r="H145" s="931"/>
    </row>
    <row r="146" spans="2:12" x14ac:dyDescent="0.25">
      <c r="B146" s="307"/>
      <c r="C146" s="308"/>
      <c r="D146" s="308" t="s">
        <v>309</v>
      </c>
      <c r="E146" s="947"/>
      <c r="F146" s="947"/>
      <c r="G146" s="948">
        <f>G141+G145</f>
        <v>221263.89600000001</v>
      </c>
      <c r="H146" s="949"/>
      <c r="I146" s="432"/>
    </row>
    <row r="147" spans="2:12" x14ac:dyDescent="0.25">
      <c r="B147" s="373"/>
      <c r="C147" s="374"/>
      <c r="D147" s="374"/>
      <c r="E147" s="936"/>
      <c r="F147" s="936"/>
      <c r="G147" s="936"/>
      <c r="H147" s="950"/>
      <c r="I147" s="432"/>
    </row>
    <row r="148" spans="2:12" x14ac:dyDescent="0.25">
      <c r="B148" s="281" t="s">
        <v>48</v>
      </c>
      <c r="C148" s="282" t="s">
        <v>49</v>
      </c>
      <c r="D148" s="283"/>
      <c r="E148" s="893"/>
      <c r="F148" s="893"/>
      <c r="G148" s="893"/>
      <c r="H148" s="894"/>
      <c r="I148" s="176"/>
      <c r="L148" s="176"/>
    </row>
    <row r="149" spans="2:12" ht="16.5" x14ac:dyDescent="0.3">
      <c r="B149" s="284"/>
      <c r="C149" s="285"/>
      <c r="D149" s="286"/>
      <c r="E149" s="895"/>
      <c r="F149" s="895"/>
      <c r="G149" s="895"/>
      <c r="H149" s="896"/>
      <c r="I149" s="176"/>
      <c r="J149" s="168"/>
      <c r="L149" s="176"/>
    </row>
    <row r="150" spans="2:12" x14ac:dyDescent="0.25">
      <c r="B150" s="268" t="s">
        <v>7</v>
      </c>
      <c r="C150" s="305" t="s">
        <v>8</v>
      </c>
      <c r="D150" s="269" t="s">
        <v>9</v>
      </c>
      <c r="E150" s="938" t="s">
        <v>10</v>
      </c>
      <c r="F150" s="938" t="s">
        <v>11</v>
      </c>
      <c r="G150" s="938" t="s">
        <v>12</v>
      </c>
      <c r="H150" s="939"/>
      <c r="I150" s="176"/>
      <c r="L150" s="176"/>
    </row>
    <row r="151" spans="2:12" x14ac:dyDescent="0.25">
      <c r="B151" s="288" t="s">
        <v>96</v>
      </c>
      <c r="C151" s="289" t="s">
        <v>101</v>
      </c>
      <c r="D151" s="290"/>
      <c r="E151" s="899"/>
      <c r="F151" s="899"/>
      <c r="G151" s="899"/>
      <c r="H151" s="900"/>
      <c r="I151" s="176"/>
      <c r="L151" s="176"/>
    </row>
    <row r="152" spans="2:12" x14ac:dyDescent="0.25">
      <c r="B152" s="362" t="s">
        <v>99</v>
      </c>
      <c r="C152" s="363" t="s">
        <v>305</v>
      </c>
      <c r="D152" s="364" t="s">
        <v>1</v>
      </c>
      <c r="E152" s="951">
        <f>'2. DADOS DE ENTRADA'!C215</f>
        <v>0.65180000000000005</v>
      </c>
      <c r="F152" s="952">
        <f>(F132*E132)-(E132*6*F194)</f>
        <v>0</v>
      </c>
      <c r="G152" s="926">
        <f>(F152/'2. DADOS DE ENTRADA'!D215)*E152</f>
        <v>0</v>
      </c>
      <c r="H152" s="953"/>
      <c r="I152" s="436"/>
      <c r="J152" s="432"/>
      <c r="K152" s="432"/>
      <c r="L152" s="176"/>
    </row>
    <row r="153" spans="2:12" x14ac:dyDescent="0.25">
      <c r="B153" s="335" t="s">
        <v>73</v>
      </c>
      <c r="C153" s="192" t="s">
        <v>785</v>
      </c>
      <c r="D153" s="190" t="s">
        <v>1</v>
      </c>
      <c r="E153" s="954">
        <f>'2. DADOS DE ENTRADA'!C216</f>
        <v>0.65180000000000005</v>
      </c>
      <c r="F153" s="955">
        <f>(F133*E133)-(E133*6*F194)</f>
        <v>154479.5</v>
      </c>
      <c r="G153" s="927">
        <f>(F153/'2. DADOS DE ENTRADA'!D216)*E153</f>
        <v>839.08115083333337</v>
      </c>
      <c r="H153" s="956"/>
      <c r="I153" s="436"/>
      <c r="J153" s="432"/>
      <c r="K153" s="432"/>
      <c r="L153" s="176"/>
    </row>
    <row r="154" spans="2:12" x14ac:dyDescent="0.25">
      <c r="B154" s="335" t="s">
        <v>78</v>
      </c>
      <c r="C154" s="192" t="s">
        <v>306</v>
      </c>
      <c r="D154" s="190" t="s">
        <v>1</v>
      </c>
      <c r="E154" s="954">
        <f>'2. DADOS DE ENTRADA'!C217</f>
        <v>0.65180000000000005</v>
      </c>
      <c r="F154" s="927">
        <f>(F134*E134)-(E134*6*F194)</f>
        <v>0</v>
      </c>
      <c r="G154" s="927">
        <f>(F154/'2. DADOS DE ENTRADA'!D217)*E154</f>
        <v>0</v>
      </c>
      <c r="H154" s="956"/>
      <c r="I154" s="173"/>
      <c r="L154" s="176"/>
    </row>
    <row r="155" spans="2:12" x14ac:dyDescent="0.25">
      <c r="B155" s="335" t="s">
        <v>361</v>
      </c>
      <c r="C155" s="192" t="s">
        <v>784</v>
      </c>
      <c r="D155" s="190" t="s">
        <v>1</v>
      </c>
      <c r="E155" s="954">
        <f>'2. DADOS DE ENTRADA'!C215</f>
        <v>0.65180000000000005</v>
      </c>
      <c r="F155" s="927">
        <f t="shared" ref="F155:F160" si="6">F135*E135</f>
        <v>0</v>
      </c>
      <c r="G155" s="927">
        <f>(F155/'2. DADOS DE ENTRADA'!D224)*'5. COLETA URBANA SEDE.DISTRITOS'!E155</f>
        <v>0</v>
      </c>
      <c r="H155" s="956"/>
      <c r="I155" s="436"/>
      <c r="J155" s="432"/>
      <c r="L155" s="176"/>
    </row>
    <row r="156" spans="2:12" x14ac:dyDescent="0.25">
      <c r="B156" s="335" t="s">
        <v>364</v>
      </c>
      <c r="C156" s="192" t="s">
        <v>652</v>
      </c>
      <c r="D156" s="190" t="s">
        <v>1</v>
      </c>
      <c r="E156" s="954">
        <f>'2. DADOS DE ENTRADA'!C225</f>
        <v>0.65180000000000005</v>
      </c>
      <c r="F156" s="927">
        <f t="shared" si="6"/>
        <v>57376.395999999993</v>
      </c>
      <c r="G156" s="927">
        <f>(F156/'2. DADOS DE ENTRADA'!D225)*'5. COLETA URBANA SEDE.DISTRITOS'!E156</f>
        <v>311.64945760666666</v>
      </c>
      <c r="H156" s="956"/>
      <c r="I156" s="436"/>
      <c r="J156" s="436"/>
      <c r="K156" s="176"/>
      <c r="L156" s="176"/>
    </row>
    <row r="157" spans="2:12" x14ac:dyDescent="0.25">
      <c r="B157" s="335" t="s">
        <v>363</v>
      </c>
      <c r="C157" s="192" t="s">
        <v>308</v>
      </c>
      <c r="D157" s="190" t="s">
        <v>1</v>
      </c>
      <c r="E157" s="954">
        <f>'2. DADOS DE ENTRADA'!C217</f>
        <v>0.65180000000000005</v>
      </c>
      <c r="F157" s="927">
        <f t="shared" si="6"/>
        <v>0</v>
      </c>
      <c r="G157" s="927">
        <f>(F157/'2. DADOS DE ENTRADA'!D226)*'5. COLETA URBANA SEDE.DISTRITOS'!E157</f>
        <v>0</v>
      </c>
      <c r="H157" s="956"/>
      <c r="I157" s="432"/>
    </row>
    <row r="158" spans="2:12" ht="43.5" x14ac:dyDescent="0.25">
      <c r="B158" s="335" t="s">
        <v>362</v>
      </c>
      <c r="C158" s="382" t="s">
        <v>786</v>
      </c>
      <c r="D158" s="190" t="s">
        <v>1</v>
      </c>
      <c r="E158" s="957">
        <f>'2. DADOS DE ENTRADA'!C220</f>
        <v>0.65180000000000005</v>
      </c>
      <c r="F158" s="958">
        <f t="shared" si="6"/>
        <v>0</v>
      </c>
      <c r="G158" s="959">
        <f>(F158/'2. DADOS DE ENTRADA'!D221)*'5. COLETA URBANA SEDE.DISTRITOS'!E158</f>
        <v>0</v>
      </c>
      <c r="H158" s="956"/>
      <c r="I158" s="432"/>
    </row>
    <row r="159" spans="2:12" ht="43.5" x14ac:dyDescent="0.25">
      <c r="B159" s="335" t="s">
        <v>365</v>
      </c>
      <c r="C159" s="382" t="s">
        <v>632</v>
      </c>
      <c r="D159" s="190" t="s">
        <v>1</v>
      </c>
      <c r="E159" s="957">
        <f>'2. DADOS DE ENTRADA'!C222</f>
        <v>0.65180000000000005</v>
      </c>
      <c r="F159" s="958">
        <f t="shared" si="6"/>
        <v>0</v>
      </c>
      <c r="G159" s="959">
        <f>(F159/'2. DADOS DE ENTRADA'!D222)*'5. COLETA URBANA SEDE.DISTRITOS'!E159</f>
        <v>0</v>
      </c>
      <c r="H159" s="871"/>
      <c r="I159" s="432"/>
      <c r="K159" s="173"/>
    </row>
    <row r="160" spans="2:12" x14ac:dyDescent="0.25">
      <c r="B160" s="335" t="s">
        <v>366</v>
      </c>
      <c r="C160" s="385" t="s">
        <v>782</v>
      </c>
      <c r="D160" s="190" t="s">
        <v>1</v>
      </c>
      <c r="E160" s="957">
        <f>'2. DADOS DE ENTRADA'!C238</f>
        <v>0.65180000000000005</v>
      </c>
      <c r="F160" s="958">
        <f t="shared" si="6"/>
        <v>0</v>
      </c>
      <c r="G160" s="959">
        <f>(F160/'2. DADOS DE ENTRADA'!D238)*'5. COLETA URBANA SEDE.DISTRITOS'!E160</f>
        <v>0</v>
      </c>
      <c r="H160" s="871"/>
      <c r="I160" s="432"/>
      <c r="K160" s="173"/>
    </row>
    <row r="161" spans="2:12" x14ac:dyDescent="0.25">
      <c r="B161" s="306"/>
      <c r="C161" s="278"/>
      <c r="D161" s="278"/>
      <c r="E161" s="873"/>
      <c r="F161" s="874" t="s">
        <v>36</v>
      </c>
      <c r="G161" s="875">
        <f>SUM(G152:G160)</f>
        <v>1150.73060844</v>
      </c>
      <c r="H161" s="960"/>
      <c r="I161" s="432"/>
      <c r="K161" s="173"/>
    </row>
    <row r="162" spans="2:12" s="176" customFormat="1" x14ac:dyDescent="0.25">
      <c r="B162" s="386"/>
      <c r="C162" s="387"/>
      <c r="D162" s="387"/>
      <c r="E162" s="961"/>
      <c r="F162" s="877"/>
      <c r="G162" s="861"/>
      <c r="H162" s="962"/>
      <c r="I162" s="436"/>
      <c r="K162" s="437"/>
    </row>
    <row r="163" spans="2:12" x14ac:dyDescent="0.25">
      <c r="B163" s="288" t="s">
        <v>125</v>
      </c>
      <c r="C163" s="289" t="s">
        <v>51</v>
      </c>
      <c r="D163" s="290"/>
      <c r="E163" s="899"/>
      <c r="F163" s="899"/>
      <c r="G163" s="899"/>
      <c r="H163" s="900"/>
      <c r="I163" s="432"/>
      <c r="K163" s="173"/>
    </row>
    <row r="164" spans="2:12" s="176" customFormat="1" x14ac:dyDescent="0.25">
      <c r="B164" s="389" t="s">
        <v>368</v>
      </c>
      <c r="C164" s="363" t="s">
        <v>633</v>
      </c>
      <c r="D164" s="364" t="s">
        <v>1</v>
      </c>
      <c r="E164" s="963">
        <f>'2. DADOS DE ENTRADA'!C228</f>
        <v>0.65180000000000005</v>
      </c>
      <c r="F164" s="926">
        <f>(E144*F144)-(E144*4*F205)</f>
        <v>0</v>
      </c>
      <c r="G164" s="926">
        <f>(F164/'2. DADOS DE ENTRADA'!D228)*E164</f>
        <v>0</v>
      </c>
      <c r="H164" s="913"/>
      <c r="I164" s="436"/>
    </row>
    <row r="165" spans="2:12" ht="13.5" customHeight="1" x14ac:dyDescent="0.25">
      <c r="B165" s="306"/>
      <c r="C165" s="278"/>
      <c r="D165" s="278"/>
      <c r="E165" s="873"/>
      <c r="F165" s="874" t="s">
        <v>36</v>
      </c>
      <c r="G165" s="875">
        <f>SUM(G164:G164)</f>
        <v>0</v>
      </c>
      <c r="H165" s="876"/>
      <c r="I165" s="432"/>
    </row>
    <row r="166" spans="2:12" x14ac:dyDescent="0.25">
      <c r="B166" s="335"/>
      <c r="C166" s="192"/>
      <c r="D166" s="190"/>
      <c r="E166" s="857"/>
      <c r="F166" s="881"/>
      <c r="G166" s="964"/>
      <c r="H166" s="965"/>
    </row>
    <row r="167" spans="2:12" ht="16.5" x14ac:dyDescent="0.3">
      <c r="B167" s="288" t="s">
        <v>126</v>
      </c>
      <c r="C167" s="309" t="s">
        <v>119</v>
      </c>
      <c r="D167" s="309" t="s">
        <v>1</v>
      </c>
      <c r="E167" s="966">
        <v>1.06</v>
      </c>
      <c r="F167" s="967">
        <f>SUM(F152:F160,F164:F164)</f>
        <v>211855.89600000001</v>
      </c>
      <c r="G167" s="968">
        <f>F167*E167/100</f>
        <v>2245.6724976</v>
      </c>
      <c r="H167" s="969"/>
      <c r="L167" s="169"/>
    </row>
    <row r="168" spans="2:12" x14ac:dyDescent="0.25">
      <c r="B168" s="335"/>
      <c r="C168" s="192"/>
      <c r="D168" s="190"/>
      <c r="E168" s="902"/>
      <c r="F168" s="927"/>
      <c r="G168" s="927"/>
      <c r="H168" s="956"/>
    </row>
    <row r="169" spans="2:12" x14ac:dyDescent="0.25">
      <c r="B169" s="288" t="s">
        <v>127</v>
      </c>
      <c r="C169" s="289" t="s">
        <v>52</v>
      </c>
      <c r="D169" s="290"/>
      <c r="E169" s="899"/>
      <c r="F169" s="899" t="s">
        <v>102</v>
      </c>
      <c r="G169" s="899" t="s">
        <v>105</v>
      </c>
      <c r="H169" s="900"/>
    </row>
    <row r="170" spans="2:12" x14ac:dyDescent="0.25">
      <c r="B170" s="362" t="s">
        <v>316</v>
      </c>
      <c r="C170" s="393" t="s">
        <v>123</v>
      </c>
      <c r="D170" s="394" t="s">
        <v>4</v>
      </c>
      <c r="E170" s="970">
        <f>E132+E133+E134</f>
        <v>0.7</v>
      </c>
      <c r="F170" s="952">
        <f>'3. PREÇOS UNITÁRIOS'!D49</f>
        <v>2341.25</v>
      </c>
      <c r="G170" s="952">
        <f>E170*F170</f>
        <v>1638.875</v>
      </c>
      <c r="H170" s="971"/>
    </row>
    <row r="171" spans="2:12" x14ac:dyDescent="0.25">
      <c r="B171" s="335" t="s">
        <v>317</v>
      </c>
      <c r="C171" s="189" t="s">
        <v>85</v>
      </c>
      <c r="D171" s="193" t="s">
        <v>4</v>
      </c>
      <c r="E171" s="972">
        <f>E144</f>
        <v>0</v>
      </c>
      <c r="F171" s="955">
        <f>'3. PREÇOS UNITÁRIOS'!D51</f>
        <v>0</v>
      </c>
      <c r="G171" s="955">
        <f t="shared" ref="G171:G173" si="7">E171*F171</f>
        <v>0</v>
      </c>
      <c r="H171" s="884"/>
    </row>
    <row r="172" spans="2:12" x14ac:dyDescent="0.25">
      <c r="B172" s="335" t="s">
        <v>318</v>
      </c>
      <c r="C172" s="189" t="s">
        <v>783</v>
      </c>
      <c r="D172" s="193" t="s">
        <v>4</v>
      </c>
      <c r="E172" s="972">
        <f>E170</f>
        <v>0.7</v>
      </c>
      <c r="F172" s="955">
        <f>'3. PREÇOS UNITÁRIOS'!D52</f>
        <v>150</v>
      </c>
      <c r="G172" s="955">
        <f t="shared" si="7"/>
        <v>105</v>
      </c>
      <c r="H172" s="884"/>
    </row>
    <row r="173" spans="2:12" x14ac:dyDescent="0.25">
      <c r="B173" s="353" t="s">
        <v>319</v>
      </c>
      <c r="C173" s="397" t="s">
        <v>569</v>
      </c>
      <c r="D173" s="361" t="s">
        <v>4</v>
      </c>
      <c r="E173" s="973">
        <f>E171</f>
        <v>0</v>
      </c>
      <c r="F173" s="974">
        <f>'3. PREÇOS UNITÁRIOS'!D53</f>
        <v>142.69</v>
      </c>
      <c r="G173" s="974">
        <f t="shared" si="7"/>
        <v>0</v>
      </c>
      <c r="H173" s="975"/>
    </row>
    <row r="174" spans="2:12" x14ac:dyDescent="0.25">
      <c r="B174" s="310"/>
      <c r="C174" s="311"/>
      <c r="D174" s="311"/>
      <c r="E174" s="976"/>
      <c r="F174" s="866" t="s">
        <v>36</v>
      </c>
      <c r="G174" s="867">
        <f>SUM(G170:G173)</f>
        <v>1743.875</v>
      </c>
      <c r="H174" s="977"/>
    </row>
    <row r="175" spans="2:12" ht="12.75" customHeight="1" x14ac:dyDescent="0.25">
      <c r="B175" s="292"/>
      <c r="C175" s="293"/>
      <c r="D175" s="293"/>
      <c r="E175" s="909"/>
      <c r="F175" s="874" t="s">
        <v>370</v>
      </c>
      <c r="G175" s="875">
        <f>G174/12</f>
        <v>145.32291666666666</v>
      </c>
      <c r="H175" s="910"/>
    </row>
    <row r="176" spans="2:12" x14ac:dyDescent="0.25">
      <c r="B176" s="353"/>
      <c r="C176" s="354"/>
      <c r="D176" s="355"/>
      <c r="E176" s="978"/>
      <c r="F176" s="978"/>
      <c r="G176" s="979"/>
      <c r="H176" s="980"/>
    </row>
    <row r="177" spans="2:14" x14ac:dyDescent="0.25">
      <c r="B177" s="288" t="s">
        <v>128</v>
      </c>
      <c r="C177" s="289" t="s">
        <v>53</v>
      </c>
      <c r="D177" s="290"/>
      <c r="E177" s="899"/>
      <c r="F177" s="899"/>
      <c r="G177" s="899"/>
      <c r="H177" s="900"/>
      <c r="J177" s="438"/>
      <c r="K177" s="174"/>
      <c r="M177" s="173"/>
      <c r="N177" s="430"/>
    </row>
    <row r="178" spans="2:14" x14ac:dyDescent="0.25">
      <c r="B178" s="362" t="s">
        <v>312</v>
      </c>
      <c r="C178" s="363" t="s">
        <v>112</v>
      </c>
      <c r="D178" s="364" t="s">
        <v>311</v>
      </c>
      <c r="E178" s="981">
        <f>'2. DADOS DE ENTRADA'!C264/'2. DADOS DE ENTRADA'!D253</f>
        <v>234.9722222222222</v>
      </c>
      <c r="F178" s="926">
        <f>'3. PREÇOS UNITÁRIOS'!D31</f>
        <v>6.29</v>
      </c>
      <c r="G178" s="926">
        <f>E178*F178</f>
        <v>1477.9752777777776</v>
      </c>
      <c r="H178" s="982"/>
      <c r="J178" s="439"/>
      <c r="K178" s="440"/>
      <c r="M178" s="173"/>
      <c r="N178" s="430"/>
    </row>
    <row r="179" spans="2:14" x14ac:dyDescent="0.25">
      <c r="B179" s="335" t="s">
        <v>313</v>
      </c>
      <c r="C179" s="192" t="s">
        <v>57</v>
      </c>
      <c r="D179" s="190" t="s">
        <v>311</v>
      </c>
      <c r="E179" s="983">
        <f>'2. DADOS DE ENTRADA'!C255/'2. DADOS DE ENTRADA'!D255</f>
        <v>0</v>
      </c>
      <c r="F179" s="927">
        <f>'3. PREÇOS UNITÁRIOS'!D32</f>
        <v>0</v>
      </c>
      <c r="G179" s="927">
        <f>E179*F179</f>
        <v>0</v>
      </c>
      <c r="H179" s="872"/>
      <c r="J179" s="439"/>
      <c r="K179" s="174"/>
      <c r="M179" s="173"/>
      <c r="N179" s="430"/>
    </row>
    <row r="180" spans="2:14" x14ac:dyDescent="0.25">
      <c r="B180" s="292"/>
      <c r="C180" s="293"/>
      <c r="D180" s="293"/>
      <c r="E180" s="909"/>
      <c r="F180" s="874" t="s">
        <v>36</v>
      </c>
      <c r="G180" s="875">
        <f>SUM(G178:G179)</f>
        <v>1477.9752777777776</v>
      </c>
      <c r="H180" s="910"/>
    </row>
    <row r="181" spans="2:14" s="176" customFormat="1" x14ac:dyDescent="0.25">
      <c r="B181" s="401"/>
      <c r="C181" s="201"/>
      <c r="D181" s="201"/>
      <c r="E181" s="984"/>
      <c r="F181" s="861"/>
      <c r="G181" s="861"/>
      <c r="H181" s="985"/>
      <c r="I181" s="172"/>
      <c r="J181" s="430"/>
      <c r="K181" s="172"/>
      <c r="L181" s="172"/>
      <c r="M181" s="172"/>
      <c r="N181" s="172"/>
    </row>
    <row r="182" spans="2:14" x14ac:dyDescent="0.25">
      <c r="B182" s="288" t="s">
        <v>129</v>
      </c>
      <c r="C182" s="289" t="s">
        <v>655</v>
      </c>
      <c r="D182" s="290"/>
      <c r="E182" s="899"/>
      <c r="F182" s="899"/>
      <c r="G182" s="899"/>
      <c r="H182" s="900"/>
    </row>
    <row r="183" spans="2:14" x14ac:dyDescent="0.25">
      <c r="B183" s="335" t="s">
        <v>321</v>
      </c>
      <c r="C183" s="192" t="s">
        <v>58</v>
      </c>
      <c r="D183" s="190" t="s">
        <v>1</v>
      </c>
      <c r="E183" s="862">
        <v>1.2</v>
      </c>
      <c r="F183" s="964">
        <f>SUM(F152:F160)</f>
        <v>211855.89600000001</v>
      </c>
      <c r="G183" s="927">
        <f>(E183/100)*F183</f>
        <v>2542.2707520000004</v>
      </c>
      <c r="H183" s="986"/>
      <c r="M183" s="432"/>
    </row>
    <row r="184" spans="2:14" x14ac:dyDescent="0.25">
      <c r="B184" s="335" t="s">
        <v>322</v>
      </c>
      <c r="C184" s="192" t="s">
        <v>14</v>
      </c>
      <c r="D184" s="190" t="s">
        <v>1</v>
      </c>
      <c r="E184" s="862">
        <v>1.2</v>
      </c>
      <c r="F184" s="964">
        <f>SUM(F164:F164)</f>
        <v>0</v>
      </c>
      <c r="G184" s="927">
        <f>(E184/100)*F184</f>
        <v>0</v>
      </c>
      <c r="H184" s="986"/>
    </row>
    <row r="185" spans="2:14" x14ac:dyDescent="0.25">
      <c r="B185" s="335" t="s">
        <v>666</v>
      </c>
      <c r="C185" s="192" t="s">
        <v>660</v>
      </c>
      <c r="D185" s="190" t="s">
        <v>4</v>
      </c>
      <c r="E185" s="857">
        <f>'2. DADOS DE ENTRADA'!E242+'2. DADOS DE ENTRADA'!E243</f>
        <v>1.4</v>
      </c>
      <c r="F185" s="964">
        <f>'3. PREÇOS UNITÁRIOS'!D64</f>
        <v>330</v>
      </c>
      <c r="G185" s="927">
        <f>F185*E185</f>
        <v>461.99999999999994</v>
      </c>
      <c r="H185" s="987"/>
    </row>
    <row r="186" spans="2:14" x14ac:dyDescent="0.25">
      <c r="B186" s="335" t="s">
        <v>667</v>
      </c>
      <c r="C186" s="192" t="s">
        <v>664</v>
      </c>
      <c r="D186" s="190" t="s">
        <v>4</v>
      </c>
      <c r="E186" s="857">
        <f>'2. DADOS DE ENTRADA'!E244</f>
        <v>0</v>
      </c>
      <c r="F186" s="964">
        <f>'3. PREÇOS UNITÁRIOS'!D66</f>
        <v>70</v>
      </c>
      <c r="G186" s="927">
        <f>F186*E186</f>
        <v>0</v>
      </c>
      <c r="H186" s="987"/>
    </row>
    <row r="187" spans="2:14" x14ac:dyDescent="0.25">
      <c r="B187" s="335" t="s">
        <v>668</v>
      </c>
      <c r="C187" s="192" t="s">
        <v>661</v>
      </c>
      <c r="D187" s="190" t="s">
        <v>4</v>
      </c>
      <c r="E187" s="988">
        <f>'2. DADOS DE ENTRADA'!E246</f>
        <v>0</v>
      </c>
      <c r="F187" s="964">
        <f>'3. PREÇOS UNITÁRIOS'!D65</f>
        <v>33</v>
      </c>
      <c r="G187" s="927">
        <f>F187*E187</f>
        <v>0</v>
      </c>
      <c r="H187" s="987"/>
    </row>
    <row r="188" spans="2:14" x14ac:dyDescent="0.25">
      <c r="B188" s="292"/>
      <c r="C188" s="293"/>
      <c r="D188" s="293"/>
      <c r="E188" s="909"/>
      <c r="F188" s="874" t="s">
        <v>36</v>
      </c>
      <c r="G188" s="875">
        <f>SUM(G183:G187)</f>
        <v>3004.2707520000004</v>
      </c>
      <c r="H188" s="910"/>
    </row>
    <row r="189" spans="2:14" x14ac:dyDescent="0.25">
      <c r="B189" s="335"/>
      <c r="C189" s="192"/>
      <c r="D189" s="190"/>
      <c r="E189" s="857"/>
      <c r="F189" s="964"/>
      <c r="G189" s="901"/>
      <c r="H189" s="956"/>
      <c r="I189" s="173"/>
    </row>
    <row r="190" spans="2:14" x14ac:dyDescent="0.25">
      <c r="B190" s="312" t="s">
        <v>130</v>
      </c>
      <c r="C190" s="313" t="s">
        <v>59</v>
      </c>
      <c r="D190" s="314"/>
      <c r="E190" s="989"/>
      <c r="F190" s="989"/>
      <c r="G190" s="989"/>
      <c r="H190" s="990"/>
      <c r="I190" s="173"/>
    </row>
    <row r="191" spans="2:14" x14ac:dyDescent="0.25">
      <c r="B191" s="288" t="s">
        <v>339</v>
      </c>
      <c r="C191" s="289" t="s">
        <v>118</v>
      </c>
      <c r="D191" s="290"/>
      <c r="E191" s="899"/>
      <c r="F191" s="899"/>
      <c r="G191" s="899"/>
      <c r="H191" s="900"/>
    </row>
    <row r="192" spans="2:14" x14ac:dyDescent="0.25">
      <c r="B192" s="335" t="s">
        <v>342</v>
      </c>
      <c r="C192" s="393" t="s">
        <v>60</v>
      </c>
      <c r="D192" s="394" t="s">
        <v>3</v>
      </c>
      <c r="E192" s="991">
        <f>'2. DADOS DE ENTRADA'!E253</f>
        <v>60000</v>
      </c>
      <c r="F192" s="992"/>
      <c r="G192" s="992"/>
      <c r="H192" s="971"/>
    </row>
    <row r="193" spans="2:11" x14ac:dyDescent="0.25">
      <c r="B193" s="335" t="s">
        <v>343</v>
      </c>
      <c r="C193" s="189" t="s">
        <v>61</v>
      </c>
      <c r="D193" s="193" t="str">
        <f>D192</f>
        <v>Km</v>
      </c>
      <c r="E193" s="870">
        <f>'2. DADOS DE ENTRADA'!C264</f>
        <v>422.95</v>
      </c>
      <c r="F193" s="993"/>
      <c r="G193" s="993"/>
      <c r="H193" s="884"/>
    </row>
    <row r="194" spans="2:11" x14ac:dyDescent="0.25">
      <c r="B194" s="335" t="s">
        <v>344</v>
      </c>
      <c r="C194" s="192" t="s">
        <v>86</v>
      </c>
      <c r="D194" s="190" t="s">
        <v>4</v>
      </c>
      <c r="E194" s="924">
        <f>'2. DADOS DE ENTRADA'!F253</f>
        <v>1</v>
      </c>
      <c r="F194" s="901">
        <f>'3. PREÇOS UNITÁRIOS'!D56</f>
        <v>2240</v>
      </c>
      <c r="G194" s="901">
        <f>E194*F194</f>
        <v>2240</v>
      </c>
      <c r="H194" s="884"/>
    </row>
    <row r="195" spans="2:11" x14ac:dyDescent="0.25">
      <c r="B195" s="335" t="s">
        <v>345</v>
      </c>
      <c r="C195" s="192" t="s">
        <v>62</v>
      </c>
      <c r="D195" s="190" t="s">
        <v>4</v>
      </c>
      <c r="E195" s="924">
        <f>'2. DADOS DE ENTRADA'!G253</f>
        <v>1</v>
      </c>
      <c r="F195" s="901">
        <f>'3. PREÇOS UNITÁRIOS'!D57</f>
        <v>240</v>
      </c>
      <c r="G195" s="901">
        <f>E195*F195</f>
        <v>240</v>
      </c>
      <c r="H195" s="884"/>
    </row>
    <row r="196" spans="2:11" x14ac:dyDescent="0.25">
      <c r="B196" s="335" t="s">
        <v>346</v>
      </c>
      <c r="C196" s="192" t="s">
        <v>63</v>
      </c>
      <c r="D196" s="190" t="s">
        <v>4</v>
      </c>
      <c r="E196" s="924">
        <f>'2. DADOS DE ENTRADA'!H253</f>
        <v>1</v>
      </c>
      <c r="F196" s="901">
        <f>'3. PREÇOS UNITÁRIOS'!D58</f>
        <v>120</v>
      </c>
      <c r="G196" s="901">
        <f>E196*F196</f>
        <v>120</v>
      </c>
      <c r="H196" s="884"/>
    </row>
    <row r="197" spans="2:11" x14ac:dyDescent="0.25">
      <c r="B197" s="335" t="s">
        <v>347</v>
      </c>
      <c r="C197" s="192" t="s">
        <v>64</v>
      </c>
      <c r="D197" s="190" t="s">
        <v>4</v>
      </c>
      <c r="E197" s="924">
        <f>'2. DADOS DE ENTRADA'!I253</f>
        <v>2</v>
      </c>
      <c r="F197" s="901">
        <f>'3. PREÇOS UNITÁRIOS'!D59</f>
        <v>625</v>
      </c>
      <c r="G197" s="901">
        <f>E197*F197</f>
        <v>1250</v>
      </c>
      <c r="H197" s="884"/>
    </row>
    <row r="198" spans="2:11" x14ac:dyDescent="0.25">
      <c r="B198" s="335" t="s">
        <v>348</v>
      </c>
      <c r="C198" s="189" t="s">
        <v>65</v>
      </c>
      <c r="D198" s="193" t="s">
        <v>4</v>
      </c>
      <c r="E198" s="972">
        <f>'2. DADOS DE ENTRADA'!J253</f>
        <v>3</v>
      </c>
      <c r="F198" s="994">
        <f>'3. PREÇOS UNITÁRIOS'!D60</f>
        <v>250</v>
      </c>
      <c r="G198" s="994">
        <f>E198*F198</f>
        <v>750</v>
      </c>
      <c r="H198" s="884"/>
    </row>
    <row r="199" spans="2:11" ht="16.5" x14ac:dyDescent="0.3">
      <c r="B199" s="310"/>
      <c r="C199" s="311"/>
      <c r="D199" s="311"/>
      <c r="E199" s="976"/>
      <c r="F199" s="866" t="s">
        <v>36</v>
      </c>
      <c r="G199" s="867">
        <f>SUM(G194:G198)</f>
        <v>4600</v>
      </c>
      <c r="H199" s="977"/>
      <c r="K199" s="168"/>
    </row>
    <row r="200" spans="2:11" ht="11.25" customHeight="1" x14ac:dyDescent="0.25">
      <c r="B200" s="292"/>
      <c r="C200" s="293"/>
      <c r="D200" s="293"/>
      <c r="E200" s="909"/>
      <c r="F200" s="874" t="s">
        <v>370</v>
      </c>
      <c r="G200" s="875">
        <f>(G199/E192)*E193</f>
        <v>32.42616666666666</v>
      </c>
      <c r="H200" s="910"/>
    </row>
    <row r="201" spans="2:11" x14ac:dyDescent="0.25">
      <c r="B201" s="335"/>
      <c r="C201" s="192"/>
      <c r="D201" s="190"/>
      <c r="E201" s="924"/>
      <c r="F201" s="881"/>
      <c r="G201" s="881"/>
      <c r="H201" s="871"/>
    </row>
    <row r="202" spans="2:11" x14ac:dyDescent="0.25">
      <c r="B202" s="288" t="s">
        <v>341</v>
      </c>
      <c r="C202" s="289" t="s">
        <v>67</v>
      </c>
      <c r="D202" s="290"/>
      <c r="E202" s="899"/>
      <c r="F202" s="899"/>
      <c r="G202" s="899"/>
      <c r="H202" s="900"/>
    </row>
    <row r="203" spans="2:11" x14ac:dyDescent="0.25">
      <c r="B203" s="345" t="s">
        <v>392</v>
      </c>
      <c r="C203" s="192" t="s">
        <v>60</v>
      </c>
      <c r="D203" s="190" t="s">
        <v>3</v>
      </c>
      <c r="E203" s="995">
        <f>'2. DADOS DE ENTRADA'!E255</f>
        <v>60000</v>
      </c>
      <c r="F203" s="881"/>
      <c r="G203" s="881"/>
      <c r="H203" s="871"/>
    </row>
    <row r="204" spans="2:11" x14ac:dyDescent="0.25">
      <c r="B204" s="345" t="s">
        <v>393</v>
      </c>
      <c r="C204" s="192" t="s">
        <v>68</v>
      </c>
      <c r="D204" s="190" t="str">
        <f>D203</f>
        <v>Km</v>
      </c>
      <c r="E204" s="995">
        <f>'2. DADOS DE ENTRADA'!C255</f>
        <v>0</v>
      </c>
      <c r="F204" s="881"/>
      <c r="G204" s="881"/>
      <c r="H204" s="871"/>
    </row>
    <row r="205" spans="2:11" x14ac:dyDescent="0.25">
      <c r="B205" s="345" t="s">
        <v>394</v>
      </c>
      <c r="C205" s="192" t="s">
        <v>120</v>
      </c>
      <c r="D205" s="190" t="s">
        <v>4</v>
      </c>
      <c r="E205" s="924">
        <f>'2. DADOS DE ENTRADA'!F255</f>
        <v>0</v>
      </c>
      <c r="F205" s="964">
        <f>'3. PREÇOS UNITÁRIOS'!D62</f>
        <v>0</v>
      </c>
      <c r="G205" s="964">
        <f>E205*F205</f>
        <v>0</v>
      </c>
      <c r="H205" s="871"/>
    </row>
    <row r="206" spans="2:11" x14ac:dyDescent="0.25">
      <c r="B206" s="310"/>
      <c r="C206" s="311"/>
      <c r="D206" s="311"/>
      <c r="E206" s="976"/>
      <c r="F206" s="866" t="s">
        <v>36</v>
      </c>
      <c r="G206" s="867">
        <f>SUM(G205)</f>
        <v>0</v>
      </c>
      <c r="H206" s="996"/>
    </row>
    <row r="207" spans="2:11" ht="10.5" customHeight="1" x14ac:dyDescent="0.25">
      <c r="B207" s="292"/>
      <c r="C207" s="293"/>
      <c r="D207" s="293"/>
      <c r="E207" s="909"/>
      <c r="F207" s="874" t="s">
        <v>370</v>
      </c>
      <c r="G207" s="875">
        <f>(G206/E203)*E204</f>
        <v>0</v>
      </c>
      <c r="H207" s="910"/>
    </row>
    <row r="208" spans="2:11" x14ac:dyDescent="0.25">
      <c r="B208" s="335"/>
      <c r="C208" s="189"/>
      <c r="D208" s="189"/>
      <c r="E208" s="993"/>
      <c r="F208" s="993"/>
      <c r="G208" s="993"/>
      <c r="H208" s="884"/>
    </row>
    <row r="209" spans="2:14" x14ac:dyDescent="0.25">
      <c r="B209" s="312" t="s">
        <v>532</v>
      </c>
      <c r="C209" s="313" t="s">
        <v>621</v>
      </c>
      <c r="D209" s="314"/>
      <c r="E209" s="989"/>
      <c r="F209" s="989"/>
      <c r="G209" s="989"/>
      <c r="H209" s="990"/>
    </row>
    <row r="210" spans="2:14" x14ac:dyDescent="0.25">
      <c r="B210" s="362" t="s">
        <v>533</v>
      </c>
      <c r="C210" s="363" t="s">
        <v>621</v>
      </c>
      <c r="D210" s="364" t="s">
        <v>1</v>
      </c>
      <c r="E210" s="997">
        <v>0.1</v>
      </c>
      <c r="F210" s="926">
        <f>G180</f>
        <v>1477.9752777777776</v>
      </c>
      <c r="G210" s="926">
        <f>E210*F210</f>
        <v>147.79752777777776</v>
      </c>
      <c r="H210" s="998"/>
    </row>
    <row r="211" spans="2:14" x14ac:dyDescent="0.25">
      <c r="B211" s="310"/>
      <c r="C211" s="311"/>
      <c r="D211" s="311"/>
      <c r="E211" s="976"/>
      <c r="F211" s="866" t="s">
        <v>36</v>
      </c>
      <c r="G211" s="867">
        <f>SUM(G210)</f>
        <v>147.79752777777776</v>
      </c>
      <c r="H211" s="996"/>
    </row>
    <row r="212" spans="2:14" s="176" customFormat="1" x14ac:dyDescent="0.25">
      <c r="B212" s="310"/>
      <c r="C212" s="311"/>
      <c r="D212" s="311"/>
      <c r="E212" s="976"/>
      <c r="F212" s="874" t="s">
        <v>370</v>
      </c>
      <c r="G212" s="867">
        <f>G211</f>
        <v>147.79752777777776</v>
      </c>
      <c r="H212" s="996"/>
      <c r="I212" s="172"/>
      <c r="J212" s="172"/>
      <c r="K212" s="172"/>
      <c r="L212" s="172"/>
      <c r="M212" s="172"/>
      <c r="N212" s="172"/>
    </row>
    <row r="213" spans="2:14" s="176" customFormat="1" ht="15.75" customHeight="1" x14ac:dyDescent="0.25">
      <c r="B213" s="301"/>
      <c r="C213" s="296"/>
      <c r="D213" s="296"/>
      <c r="E213" s="915" t="s">
        <v>725</v>
      </c>
      <c r="F213" s="915"/>
      <c r="G213" s="915">
        <f>G212+G207+G200+G188+G180+G175+G167+G165+G161</f>
        <v>8204.19574692889</v>
      </c>
      <c r="H213" s="932"/>
      <c r="I213" s="172"/>
      <c r="J213" s="172"/>
      <c r="K213" s="172"/>
      <c r="L213" s="172"/>
      <c r="M213" s="172"/>
      <c r="N213" s="172"/>
    </row>
    <row r="214" spans="2:14" s="176" customFormat="1" x14ac:dyDescent="0.25">
      <c r="B214" s="302"/>
      <c r="C214" s="303"/>
      <c r="D214" s="303"/>
      <c r="E214" s="933"/>
      <c r="F214" s="933"/>
      <c r="G214" s="933"/>
      <c r="H214" s="934"/>
    </row>
    <row r="215" spans="2:14" x14ac:dyDescent="0.25">
      <c r="B215" s="281" t="s">
        <v>677</v>
      </c>
      <c r="C215" s="282" t="s">
        <v>678</v>
      </c>
      <c r="D215" s="283"/>
      <c r="E215" s="893"/>
      <c r="F215" s="893"/>
      <c r="G215" s="893"/>
      <c r="H215" s="894"/>
    </row>
    <row r="216" spans="2:14" x14ac:dyDescent="0.25">
      <c r="B216" s="284"/>
      <c r="C216" s="285"/>
      <c r="D216" s="286"/>
      <c r="E216" s="895"/>
      <c r="F216" s="895"/>
      <c r="G216" s="895"/>
      <c r="H216" s="896"/>
    </row>
    <row r="217" spans="2:14" x14ac:dyDescent="0.25">
      <c r="B217" s="268" t="s">
        <v>7</v>
      </c>
      <c r="C217" s="305" t="s">
        <v>8</v>
      </c>
      <c r="D217" s="269" t="s">
        <v>9</v>
      </c>
      <c r="E217" s="938" t="s">
        <v>10</v>
      </c>
      <c r="F217" s="938" t="s">
        <v>11</v>
      </c>
      <c r="G217" s="938" t="s">
        <v>12</v>
      </c>
      <c r="H217" s="939"/>
    </row>
    <row r="218" spans="2:14" x14ac:dyDescent="0.25">
      <c r="B218" s="288" t="s">
        <v>100</v>
      </c>
      <c r="C218" s="289" t="s">
        <v>722</v>
      </c>
      <c r="D218" s="290"/>
      <c r="E218" s="899"/>
      <c r="F218" s="899"/>
      <c r="G218" s="899"/>
      <c r="H218" s="900"/>
    </row>
    <row r="219" spans="2:14" x14ac:dyDescent="0.25">
      <c r="B219" s="406" t="s">
        <v>703</v>
      </c>
      <c r="C219" s="192" t="s">
        <v>679</v>
      </c>
      <c r="D219" s="193" t="s">
        <v>4</v>
      </c>
      <c r="E219" s="870">
        <f>'2. DADOS DE ENTRADA'!E247</f>
        <v>34</v>
      </c>
      <c r="F219" s="955">
        <f>'3. PREÇOS UNITÁRIOS'!D69</f>
        <v>10</v>
      </c>
      <c r="G219" s="955">
        <f>E219*F219</f>
        <v>340</v>
      </c>
      <c r="H219" s="884"/>
    </row>
    <row r="220" spans="2:14" x14ac:dyDescent="0.25">
      <c r="B220" s="406" t="s">
        <v>704</v>
      </c>
      <c r="C220" s="192" t="s">
        <v>680</v>
      </c>
      <c r="D220" s="193" t="s">
        <v>4</v>
      </c>
      <c r="E220" s="862">
        <f>'2. DADOS DE ENTRADA'!E214+'2. DADOS DE ENTRADA'!E215+'2. DADOS DE ENTRADA'!E216+'2. DADOS DE ENTRADA'!E217+'2. DADOS DE ENTRADA'!E218</f>
        <v>0.7</v>
      </c>
      <c r="F220" s="955">
        <f>('3. PREÇOS UNITÁRIOS'!D70)</f>
        <v>8.3333333333333339</v>
      </c>
      <c r="G220" s="955">
        <f t="shared" ref="G220:G221" si="8">E220*F220</f>
        <v>5.833333333333333</v>
      </c>
      <c r="H220" s="884"/>
      <c r="I220" s="173"/>
    </row>
    <row r="221" spans="2:14" ht="42.75" x14ac:dyDescent="0.25">
      <c r="B221" s="406" t="s">
        <v>705</v>
      </c>
      <c r="C221" s="195" t="s">
        <v>735</v>
      </c>
      <c r="D221" s="203" t="s">
        <v>681</v>
      </c>
      <c r="E221" s="999">
        <f>E220</f>
        <v>0.7</v>
      </c>
      <c r="F221" s="1000">
        <f>'3. PREÇOS UNITÁRIOS'!D71</f>
        <v>69.900000000000006</v>
      </c>
      <c r="G221" s="1000">
        <f t="shared" si="8"/>
        <v>48.93</v>
      </c>
      <c r="H221" s="1001"/>
    </row>
    <row r="222" spans="2:14" x14ac:dyDescent="0.25">
      <c r="B222" s="315"/>
      <c r="C222" s="315"/>
      <c r="D222" s="315"/>
      <c r="E222" s="1002"/>
      <c r="F222" s="1003" t="s">
        <v>36</v>
      </c>
      <c r="G222" s="1004">
        <f>SUM(G219:G221)</f>
        <v>394.76333333333332</v>
      </c>
      <c r="H222" s="1005"/>
    </row>
    <row r="223" spans="2:14" x14ac:dyDescent="0.25">
      <c r="B223" s="316"/>
      <c r="C223" s="316"/>
      <c r="D223" s="316"/>
      <c r="E223" s="1006" t="s">
        <v>726</v>
      </c>
      <c r="F223" s="1006"/>
      <c r="G223" s="1006">
        <f>G222</f>
        <v>394.76333333333332</v>
      </c>
      <c r="H223" s="1006"/>
    </row>
    <row r="224" spans="2:14" x14ac:dyDescent="0.25">
      <c r="B224" s="281" t="s">
        <v>537</v>
      </c>
      <c r="C224" s="282" t="s">
        <v>534</v>
      </c>
      <c r="D224" s="283"/>
      <c r="E224" s="893"/>
      <c r="F224" s="893"/>
      <c r="G224" s="893"/>
      <c r="H224" s="894"/>
    </row>
    <row r="225" spans="1:9" x14ac:dyDescent="0.25">
      <c r="B225" s="335" t="s">
        <v>103</v>
      </c>
      <c r="C225" s="189" t="s">
        <v>34</v>
      </c>
      <c r="D225" s="193"/>
      <c r="E225" s="993"/>
      <c r="F225" s="993"/>
      <c r="G225" s="993"/>
      <c r="H225" s="1007">
        <f>G46</f>
        <v>9517.5204826308</v>
      </c>
      <c r="I225" s="173"/>
    </row>
    <row r="226" spans="1:9" x14ac:dyDescent="0.25">
      <c r="B226" s="335" t="s">
        <v>708</v>
      </c>
      <c r="C226" s="189" t="s">
        <v>37</v>
      </c>
      <c r="D226" s="193"/>
      <c r="E226" s="993"/>
      <c r="F226" s="993"/>
      <c r="G226" s="993"/>
      <c r="H226" s="1007">
        <f>G86</f>
        <v>1235.2998106687439</v>
      </c>
    </row>
    <row r="227" spans="1:9" x14ac:dyDescent="0.25">
      <c r="B227" s="335" t="s">
        <v>709</v>
      </c>
      <c r="C227" s="189" t="s">
        <v>724</v>
      </c>
      <c r="D227" s="193"/>
      <c r="E227" s="993"/>
      <c r="F227" s="993"/>
      <c r="G227" s="993"/>
      <c r="H227" s="1007">
        <f>G124</f>
        <v>380.65495136333328</v>
      </c>
    </row>
    <row r="228" spans="1:9" x14ac:dyDescent="0.25">
      <c r="B228" s="335" t="s">
        <v>710</v>
      </c>
      <c r="C228" s="189" t="s">
        <v>536</v>
      </c>
      <c r="D228" s="193"/>
      <c r="E228" s="993"/>
      <c r="F228" s="993"/>
      <c r="G228" s="993"/>
      <c r="H228" s="1007">
        <f>G213</f>
        <v>8204.19574692889</v>
      </c>
    </row>
    <row r="229" spans="1:9" x14ac:dyDescent="0.25">
      <c r="B229" s="335" t="s">
        <v>729</v>
      </c>
      <c r="C229" s="189" t="s">
        <v>723</v>
      </c>
      <c r="D229" s="193"/>
      <c r="E229" s="993"/>
      <c r="F229" s="993"/>
      <c r="G229" s="993"/>
      <c r="H229" s="1007">
        <f>G222</f>
        <v>394.76333333333332</v>
      </c>
    </row>
    <row r="230" spans="1:9" x14ac:dyDescent="0.25">
      <c r="B230" s="317"/>
      <c r="C230" s="318" t="s">
        <v>535</v>
      </c>
      <c r="D230" s="318"/>
      <c r="E230" s="1008"/>
      <c r="F230" s="1008"/>
      <c r="G230" s="1008"/>
      <c r="H230" s="1009">
        <f>SUM(H225:H229)</f>
        <v>19732.4343249251</v>
      </c>
    </row>
    <row r="231" spans="1:9" x14ac:dyDescent="0.25">
      <c r="B231" s="335"/>
      <c r="C231" s="192"/>
      <c r="D231" s="192"/>
      <c r="E231" s="881"/>
      <c r="F231" s="881"/>
      <c r="G231" s="881"/>
      <c r="H231" s="871"/>
    </row>
    <row r="232" spans="1:9" x14ac:dyDescent="0.25">
      <c r="B232" s="319" t="s">
        <v>541</v>
      </c>
      <c r="C232" s="320" t="s">
        <v>538</v>
      </c>
      <c r="D232" s="321"/>
      <c r="E232" s="1010"/>
      <c r="F232" s="1010"/>
      <c r="G232" s="1010"/>
      <c r="H232" s="1011"/>
    </row>
    <row r="233" spans="1:9" s="176" customFormat="1" x14ac:dyDescent="0.25">
      <c r="B233" s="322"/>
      <c r="C233" s="323"/>
      <c r="D233" s="154"/>
      <c r="E233" s="1012"/>
      <c r="F233" s="1012"/>
      <c r="G233" s="1012"/>
      <c r="H233" s="1013"/>
    </row>
    <row r="234" spans="1:9" x14ac:dyDescent="0.25">
      <c r="B234" s="268" t="s">
        <v>7</v>
      </c>
      <c r="C234" s="305" t="s">
        <v>8</v>
      </c>
      <c r="D234" s="269"/>
      <c r="E234" s="938"/>
      <c r="F234" s="938" t="s">
        <v>12</v>
      </c>
      <c r="G234" s="938"/>
      <c r="H234" s="939"/>
    </row>
    <row r="235" spans="1:9" s="756" customFormat="1" x14ac:dyDescent="0.25">
      <c r="A235" s="176"/>
      <c r="B235" s="753" t="s">
        <v>104</v>
      </c>
      <c r="C235" s="754" t="s">
        <v>539</v>
      </c>
      <c r="D235" s="755"/>
      <c r="E235" s="1014"/>
      <c r="F235" s="1015">
        <v>0</v>
      </c>
      <c r="G235" s="1014"/>
      <c r="H235" s="1016"/>
    </row>
    <row r="236" spans="1:9" x14ac:dyDescent="0.25">
      <c r="B236" s="294"/>
      <c r="C236" s="295" t="s">
        <v>540</v>
      </c>
      <c r="D236" s="295"/>
      <c r="E236" s="914"/>
      <c r="F236" s="915">
        <f>SUM(F235:F235)</f>
        <v>0</v>
      </c>
      <c r="G236" s="915"/>
      <c r="H236" s="932"/>
    </row>
    <row r="237" spans="1:9" x14ac:dyDescent="0.25">
      <c r="B237" s="317"/>
      <c r="C237" s="318" t="s">
        <v>567</v>
      </c>
      <c r="D237" s="318"/>
      <c r="E237" s="1008"/>
      <c r="F237" s="1017">
        <f>F236+H230</f>
        <v>19732.4343249251</v>
      </c>
      <c r="G237" s="1017"/>
      <c r="H237" s="1009"/>
    </row>
    <row r="238" spans="1:9" x14ac:dyDescent="0.25">
      <c r="B238" s="335"/>
      <c r="C238" s="189"/>
      <c r="D238" s="193"/>
      <c r="E238" s="993"/>
      <c r="F238" s="993"/>
      <c r="G238" s="881"/>
      <c r="H238" s="871"/>
    </row>
    <row r="239" spans="1:9" x14ac:dyDescent="0.25">
      <c r="B239" s="319" t="s">
        <v>711</v>
      </c>
      <c r="C239" s="320" t="s">
        <v>542</v>
      </c>
      <c r="D239" s="321"/>
      <c r="E239" s="1010"/>
      <c r="F239" s="1010"/>
      <c r="G239" s="1018"/>
      <c r="H239" s="1019"/>
    </row>
    <row r="240" spans="1:9" x14ac:dyDescent="0.25">
      <c r="B240" s="327" t="s">
        <v>7</v>
      </c>
      <c r="C240" s="328" t="s">
        <v>8</v>
      </c>
      <c r="D240" s="329" t="s">
        <v>9</v>
      </c>
      <c r="E240" s="1020" t="s">
        <v>69</v>
      </c>
      <c r="F240" s="1021" t="s">
        <v>12</v>
      </c>
      <c r="G240" s="881"/>
      <c r="H240" s="871"/>
    </row>
    <row r="241" spans="2:10" x14ac:dyDescent="0.25">
      <c r="B241" s="408" t="s">
        <v>273</v>
      </c>
      <c r="C241" s="409" t="s">
        <v>543</v>
      </c>
      <c r="D241" s="193" t="s">
        <v>1</v>
      </c>
      <c r="E241" s="1022">
        <v>4.93</v>
      </c>
      <c r="F241" s="1023"/>
      <c r="G241" s="881"/>
      <c r="H241" s="871"/>
    </row>
    <row r="242" spans="2:10" x14ac:dyDescent="0.25">
      <c r="B242" s="408" t="s">
        <v>712</v>
      </c>
      <c r="C242" s="411" t="s">
        <v>545</v>
      </c>
      <c r="D242" s="193" t="s">
        <v>1</v>
      </c>
      <c r="E242" s="1024">
        <v>0.99</v>
      </c>
      <c r="F242" s="1023"/>
      <c r="G242" s="881"/>
      <c r="H242" s="871"/>
    </row>
    <row r="243" spans="2:10" x14ac:dyDescent="0.25">
      <c r="B243" s="408" t="s">
        <v>713</v>
      </c>
      <c r="C243" s="411" t="s">
        <v>547</v>
      </c>
      <c r="D243" s="193" t="s">
        <v>1</v>
      </c>
      <c r="E243" s="1024">
        <f>SUM(E244:E245)</f>
        <v>1.88</v>
      </c>
      <c r="F243" s="1023"/>
      <c r="G243" s="881"/>
      <c r="H243" s="871"/>
    </row>
    <row r="244" spans="2:10" x14ac:dyDescent="0.25">
      <c r="B244" s="408" t="s">
        <v>714</v>
      </c>
      <c r="C244" s="411" t="s">
        <v>568</v>
      </c>
      <c r="D244" s="193" t="s">
        <v>1</v>
      </c>
      <c r="E244" s="1024">
        <v>0.49</v>
      </c>
      <c r="F244" s="1023"/>
      <c r="G244" s="881"/>
      <c r="H244" s="871"/>
    </row>
    <row r="245" spans="2:10" x14ac:dyDescent="0.25">
      <c r="B245" s="408" t="s">
        <v>715</v>
      </c>
      <c r="C245" s="411" t="s">
        <v>551</v>
      </c>
      <c r="D245" s="193" t="s">
        <v>1</v>
      </c>
      <c r="E245" s="1024">
        <v>1.39</v>
      </c>
      <c r="F245" s="1023"/>
      <c r="G245" s="881"/>
      <c r="H245" s="871"/>
    </row>
    <row r="246" spans="2:10" x14ac:dyDescent="0.25">
      <c r="B246" s="408" t="s">
        <v>716</v>
      </c>
      <c r="C246" s="411" t="s">
        <v>553</v>
      </c>
      <c r="D246" s="193" t="s">
        <v>1</v>
      </c>
      <c r="E246" s="1024">
        <f>SUM(E247:E249)</f>
        <v>6.65</v>
      </c>
      <c r="F246" s="1023"/>
      <c r="G246" s="881"/>
      <c r="H246" s="871"/>
    </row>
    <row r="247" spans="2:10" ht="16.5" x14ac:dyDescent="0.3">
      <c r="B247" s="408" t="s">
        <v>717</v>
      </c>
      <c r="C247" s="411" t="s">
        <v>555</v>
      </c>
      <c r="D247" s="193" t="s">
        <v>1</v>
      </c>
      <c r="E247" s="1024">
        <v>3</v>
      </c>
      <c r="F247" s="1023"/>
      <c r="G247" s="881"/>
      <c r="H247" s="871"/>
      <c r="J247" s="167"/>
    </row>
    <row r="248" spans="2:10" x14ac:dyDescent="0.25">
      <c r="B248" s="408" t="s">
        <v>718</v>
      </c>
      <c r="C248" s="411" t="s">
        <v>557</v>
      </c>
      <c r="D248" s="193" t="s">
        <v>1</v>
      </c>
      <c r="E248" s="1024">
        <v>0.65</v>
      </c>
      <c r="F248" s="1023"/>
      <c r="G248" s="1025"/>
      <c r="H248" s="871"/>
    </row>
    <row r="249" spans="2:10" x14ac:dyDescent="0.25">
      <c r="B249" s="408" t="s">
        <v>719</v>
      </c>
      <c r="C249" s="411" t="s">
        <v>559</v>
      </c>
      <c r="D249" s="193" t="s">
        <v>1</v>
      </c>
      <c r="E249" s="1024">
        <v>3</v>
      </c>
      <c r="F249" s="1023"/>
      <c r="G249" s="1026"/>
      <c r="H249" s="871"/>
    </row>
    <row r="250" spans="2:10" x14ac:dyDescent="0.25">
      <c r="B250" s="408" t="s">
        <v>720</v>
      </c>
      <c r="C250" s="411" t="s">
        <v>561</v>
      </c>
      <c r="D250" s="193" t="s">
        <v>1</v>
      </c>
      <c r="E250" s="1024">
        <v>8.0399999999999991</v>
      </c>
      <c r="F250" s="1023"/>
      <c r="G250" s="881"/>
      <c r="H250" s="871"/>
    </row>
    <row r="251" spans="2:10" x14ac:dyDescent="0.25">
      <c r="B251" s="408" t="s">
        <v>721</v>
      </c>
      <c r="C251" s="411" t="s">
        <v>562</v>
      </c>
      <c r="D251" s="193" t="s">
        <v>1</v>
      </c>
      <c r="E251" s="1024">
        <f>(((1+(E241+E243)/100)*(1+E242/100)*(1+E250/100)/(1-E246/100))-1)*100</f>
        <v>24.841949102945904</v>
      </c>
      <c r="F251" s="1023"/>
      <c r="G251" s="881"/>
      <c r="H251" s="871"/>
    </row>
    <row r="252" spans="2:10" ht="15.75" thickBot="1" x14ac:dyDescent="0.3">
      <c r="B252" s="330"/>
      <c r="C252" s="331" t="s">
        <v>563</v>
      </c>
      <c r="D252" s="332"/>
      <c r="E252" s="1027"/>
      <c r="F252" s="1028">
        <f>F237*(E251/100)</f>
        <v>4901.9212917701207</v>
      </c>
      <c r="G252" s="881"/>
      <c r="H252" s="871"/>
    </row>
    <row r="253" spans="2:10" ht="15.75" thickBot="1" x14ac:dyDescent="0.3">
      <c r="B253" s="335"/>
      <c r="C253" s="189"/>
      <c r="D253" s="193"/>
      <c r="E253" s="993"/>
      <c r="F253" s="993"/>
      <c r="G253" s="881"/>
      <c r="H253" s="871"/>
    </row>
    <row r="254" spans="2:10" x14ac:dyDescent="0.25">
      <c r="B254" s="335"/>
      <c r="C254" s="782" t="s">
        <v>564</v>
      </c>
      <c r="D254" s="783"/>
      <c r="E254" s="1029"/>
      <c r="F254" s="1030">
        <f>F237+F252</f>
        <v>24634.355616695218</v>
      </c>
      <c r="G254" s="927"/>
      <c r="H254" s="871"/>
    </row>
    <row r="255" spans="2:10" x14ac:dyDescent="0.25">
      <c r="B255" s="335"/>
      <c r="C255" s="784" t="s">
        <v>565</v>
      </c>
      <c r="D255" s="785"/>
      <c r="E255" s="1031"/>
      <c r="F255" s="1032">
        <v>94.1</v>
      </c>
      <c r="G255" s="927"/>
      <c r="H255" s="871"/>
    </row>
    <row r="256" spans="2:10" ht="15.75" thickBot="1" x14ac:dyDescent="0.3">
      <c r="B256" s="353"/>
      <c r="C256" s="786" t="s">
        <v>566</v>
      </c>
      <c r="D256" s="787"/>
      <c r="E256" s="1033"/>
      <c r="F256" s="1034">
        <f>ROUND(F254/F255,2)</f>
        <v>261.79000000000002</v>
      </c>
      <c r="G256" s="1035"/>
      <c r="H256" s="1036"/>
    </row>
    <row r="257" spans="3:6" x14ac:dyDescent="0.25"/>
    <row r="258" spans="3:6" hidden="1" x14ac:dyDescent="0.25">
      <c r="C258" s="414"/>
      <c r="D258" s="414"/>
      <c r="E258" s="414"/>
      <c r="F258" s="414"/>
    </row>
    <row r="259" spans="3:6" hidden="1" x14ac:dyDescent="0.25">
      <c r="C259" s="414"/>
      <c r="D259" s="414"/>
      <c r="E259" s="414"/>
      <c r="F259" s="414"/>
    </row>
  </sheetData>
  <sheetProtection algorithmName="SHA-512" hashValue="wY62xUNePU6WMP4mnOSwXy4mvctRSkHz4vhnhx/Su0/wRvyMHyP8B0sZkTzQ5F5TtYZTyAMoa4XuiN9Bl52mPg==" saltValue="4EB1rtPJ6wxJws2R8HCb0Q==" spinCount="100000" sheet="1" objects="1" scenarios="1"/>
  <mergeCells count="1">
    <mergeCell ref="B7:H7"/>
  </mergeCells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216"/>
  <sheetViews>
    <sheetView showGridLines="0" topLeftCell="B1" zoomScale="85" zoomScaleNormal="85" zoomScaleSheetLayoutView="85" workbookViewId="0">
      <selection activeCell="E13" sqref="E13:H213"/>
    </sheetView>
  </sheetViews>
  <sheetFormatPr defaultColWidth="0" defaultRowHeight="14.25" zeroHeight="1" x14ac:dyDescent="0.2"/>
  <cols>
    <col min="1" max="1" width="7.85546875" style="192" hidden="1" customWidth="1"/>
    <col min="2" max="2" width="11.42578125" style="189" customWidth="1"/>
    <col min="3" max="3" width="44.7109375" style="192" customWidth="1"/>
    <col min="4" max="4" width="12.42578125" style="192" customWidth="1"/>
    <col min="5" max="5" width="14.42578125" style="192" customWidth="1"/>
    <col min="6" max="6" width="16.28515625" style="192" customWidth="1"/>
    <col min="7" max="7" width="17.28515625" style="192" bestFit="1" customWidth="1"/>
    <col min="8" max="8" width="15.28515625" style="192" customWidth="1"/>
    <col min="9" max="9" width="14" style="189" hidden="1" customWidth="1"/>
    <col min="10" max="10" width="12.85546875" style="189" hidden="1" customWidth="1"/>
    <col min="11" max="11" width="14" style="189" hidden="1" customWidth="1"/>
    <col min="12" max="12" width="12.140625" style="189" hidden="1" customWidth="1"/>
    <col min="13" max="14" width="0" style="189" hidden="1" customWidth="1"/>
    <col min="15" max="16384" width="11.42578125" style="189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ht="18" customHeight="1" thickBot="1" x14ac:dyDescent="0.3">
      <c r="B7" s="818" t="s">
        <v>841</v>
      </c>
      <c r="C7" s="819"/>
      <c r="D7" s="819"/>
      <c r="E7" s="819"/>
      <c r="F7" s="819"/>
      <c r="G7" s="819"/>
      <c r="H7" s="820"/>
      <c r="I7" s="425"/>
      <c r="J7" s="192"/>
      <c r="K7" s="192"/>
      <c r="L7" s="192"/>
      <c r="M7" s="192"/>
      <c r="N7" s="192"/>
    </row>
    <row r="8" spans="1:14" x14ac:dyDescent="0.2">
      <c r="B8" s="333"/>
      <c r="H8" s="334"/>
      <c r="I8" s="192"/>
      <c r="J8" s="192"/>
      <c r="K8" s="192"/>
      <c r="L8" s="192"/>
      <c r="M8" s="192"/>
      <c r="N8" s="192"/>
    </row>
    <row r="9" spans="1:14" x14ac:dyDescent="0.2">
      <c r="B9" s="264" t="s">
        <v>2</v>
      </c>
      <c r="C9" s="265" t="s">
        <v>18</v>
      </c>
      <c r="D9" s="266"/>
      <c r="E9" s="266"/>
      <c r="F9" s="266"/>
      <c r="G9" s="266"/>
      <c r="H9" s="267"/>
    </row>
    <row r="10" spans="1:14" x14ac:dyDescent="0.2">
      <c r="B10" s="751"/>
      <c r="C10" s="752"/>
      <c r="D10" s="325"/>
      <c r="E10" s="325"/>
      <c r="F10" s="325"/>
      <c r="G10" s="325"/>
      <c r="H10" s="326"/>
    </row>
    <row r="11" spans="1:14" x14ac:dyDescent="0.2">
      <c r="B11" s="268" t="s">
        <v>7</v>
      </c>
      <c r="C11" s="269" t="s">
        <v>8</v>
      </c>
      <c r="D11" s="269" t="s">
        <v>9</v>
      </c>
      <c r="E11" s="269" t="s">
        <v>10</v>
      </c>
      <c r="F11" s="269" t="s">
        <v>11</v>
      </c>
      <c r="G11" s="269" t="s">
        <v>12</v>
      </c>
      <c r="H11" s="270"/>
    </row>
    <row r="12" spans="1:14" x14ac:dyDescent="0.2">
      <c r="B12" s="271" t="s">
        <v>88</v>
      </c>
      <c r="C12" s="272" t="s">
        <v>19</v>
      </c>
      <c r="D12" s="273"/>
      <c r="E12" s="273"/>
      <c r="F12" s="273"/>
      <c r="G12" s="273"/>
      <c r="H12" s="274"/>
    </row>
    <row r="13" spans="1:14" x14ac:dyDescent="0.2">
      <c r="A13" s="192" t="s">
        <v>96</v>
      </c>
      <c r="B13" s="335" t="str">
        <f>IF(C13="","",$B$12&amp;"."&amp;COUNT($F$13:F13))</f>
        <v>1.1.1</v>
      </c>
      <c r="C13" s="192" t="s">
        <v>20</v>
      </c>
      <c r="D13" s="190" t="s">
        <v>21</v>
      </c>
      <c r="E13" s="857">
        <f>SUMIFS('2. DADOS DE ENTRADA'!C:C,'2. DADOS DE ENTRADA'!A:A,'5.1 COLETA URBANA MECANIZADA'!A13,'2. DADOS DE ENTRADA'!B:B,'5.1 COLETA URBANA MECANIZADA'!$C$12)</f>
        <v>173.38</v>
      </c>
      <c r="F13" s="858">
        <f>'3. PREÇOS UNITÁRIOS'!D22/'5.1 COLETA URBANA MECANIZADA'!E13</f>
        <v>13.474592225170147</v>
      </c>
      <c r="G13" s="858">
        <f>E13*F13</f>
        <v>2336.2248</v>
      </c>
      <c r="H13" s="859"/>
    </row>
    <row r="14" spans="1:14" x14ac:dyDescent="0.2">
      <c r="A14" s="192" t="s">
        <v>88</v>
      </c>
      <c r="B14" s="335" t="str">
        <f>IF(C14="","",$B$12&amp;"."&amp;COUNT($F$13:F14))</f>
        <v>1.1.2</v>
      </c>
      <c r="C14" s="192" t="s">
        <v>22</v>
      </c>
      <c r="D14" s="190" t="s">
        <v>1</v>
      </c>
      <c r="E14" s="860">
        <f>SUMIFS('2. DADOS DE ENTRADA'!C:C,'2. DADOS DE ENTRADA'!A:A,'5.1 COLETA URBANA MECANIZADA'!A14,'2. DADOS DE ENTRADA'!B:B,'5.1 COLETA URBANA MECANIZADA'!$C$12)</f>
        <v>0.4</v>
      </c>
      <c r="F14" s="858">
        <f>'3. PREÇOS UNITÁRIOS'!D21</f>
        <v>1412</v>
      </c>
      <c r="G14" s="858">
        <f>E14*F14</f>
        <v>564.80000000000007</v>
      </c>
      <c r="H14" s="859"/>
      <c r="I14" s="224"/>
    </row>
    <row r="15" spans="1:14" ht="15" x14ac:dyDescent="0.25">
      <c r="B15" s="335" t="str">
        <f>IF(C15="","",$B$12&amp;"."&amp;COUNT($F$13:F15))</f>
        <v/>
      </c>
      <c r="D15" s="190"/>
      <c r="E15" s="860"/>
      <c r="F15" s="858"/>
      <c r="G15" s="861">
        <f>SUM(G13:G14)</f>
        <v>2901.0248000000001</v>
      </c>
      <c r="H15" s="859"/>
      <c r="I15" s="224"/>
    </row>
    <row r="16" spans="1:14" ht="15" x14ac:dyDescent="0.25">
      <c r="A16" s="192" t="s">
        <v>109</v>
      </c>
      <c r="B16" s="335" t="str">
        <f>IF(C16="","",$B$12&amp;"."&amp;COUNT($F$13:F16))</f>
        <v>1.1.3</v>
      </c>
      <c r="C16" s="192" t="s">
        <v>254</v>
      </c>
      <c r="D16" s="190" t="s">
        <v>21</v>
      </c>
      <c r="E16" s="862">
        <f>SUMIFS('2. DADOS DE ENTRADA'!D:D,'2. DADOS DE ENTRADA'!A:A,'5.1 COLETA URBANA MECANIZADA'!A16,'2. DADOS DE ENTRADA'!B:B,'5.1 COLETA URBANA MECANIZADA'!C12)</f>
        <v>0</v>
      </c>
      <c r="F16" s="863">
        <f>(G15/E13)*1.5</f>
        <v>25.098265082477795</v>
      </c>
      <c r="G16" s="863">
        <f>F16*E16</f>
        <v>0</v>
      </c>
      <c r="H16" s="864"/>
    </row>
    <row r="17" spans="1:9" ht="15" x14ac:dyDescent="0.25">
      <c r="A17" s="192" t="s">
        <v>95</v>
      </c>
      <c r="B17" s="335" t="str">
        <f>IF(C17="","",$B$12&amp;"."&amp;COUNT($F$13:F17))</f>
        <v>1.1.4</v>
      </c>
      <c r="C17" s="192" t="s">
        <v>255</v>
      </c>
      <c r="D17" s="190" t="s">
        <v>21</v>
      </c>
      <c r="E17" s="862">
        <f>SUMIFS('2. DADOS DE ENTRADA'!D:D,'2. DADOS DE ENTRADA'!A:A,'5.1 COLETA URBANA MECANIZADA'!A17,'2. DADOS DE ENTRADA'!B:B,'5.1 COLETA URBANA MECANIZADA'!C12)</f>
        <v>0</v>
      </c>
      <c r="F17" s="863">
        <f>(G15/E13)*2</f>
        <v>33.464353443303729</v>
      </c>
      <c r="G17" s="863">
        <f>F17*E17</f>
        <v>0</v>
      </c>
      <c r="H17" s="864"/>
      <c r="I17" s="224"/>
    </row>
    <row r="18" spans="1:9" x14ac:dyDescent="0.2">
      <c r="A18" s="379"/>
      <c r="B18" s="275" t="str">
        <f>IF(C18="","",$B$12&amp;"."&amp;COUNT($F$13:F18))</f>
        <v/>
      </c>
      <c r="C18" s="276"/>
      <c r="D18" s="276"/>
      <c r="E18" s="865"/>
      <c r="F18" s="866" t="s">
        <v>352</v>
      </c>
      <c r="G18" s="867">
        <f>G15+G16+G17</f>
        <v>2901.0248000000001</v>
      </c>
      <c r="H18" s="868"/>
    </row>
    <row r="19" spans="1:9" x14ac:dyDescent="0.2">
      <c r="A19" s="192" t="s">
        <v>273</v>
      </c>
      <c r="B19" s="335" t="str">
        <f>IF(C19="","",$B$12&amp;"."&amp;COUNT($F$13:F19))</f>
        <v>1.1.5</v>
      </c>
      <c r="C19" s="192" t="s">
        <v>23</v>
      </c>
      <c r="D19" s="190" t="s">
        <v>1</v>
      </c>
      <c r="E19" s="869">
        <f>SUMIFS('2. DADOS DE ENTRADA'!C:C,'2. DADOS DE ENTRADA'!A:A,'5.1 COLETA URBANA MECANIZADA'!A19,'2. DADOS DE ENTRADA'!B:B,'5.1 COLETA URBANA MECANIZADA'!$C$12)</f>
        <v>0.71101040000000004</v>
      </c>
      <c r="F19" s="858">
        <f>G18</f>
        <v>2901.0248000000001</v>
      </c>
      <c r="G19" s="858">
        <f>(E19)*F19</f>
        <v>2062.6588034579204</v>
      </c>
      <c r="H19" s="859"/>
    </row>
    <row r="20" spans="1:9" x14ac:dyDescent="0.2">
      <c r="A20" s="379"/>
      <c r="B20" s="275" t="str">
        <f>IF(C20="","",$B$12&amp;"."&amp;COUNT($F$13:F20))</f>
        <v/>
      </c>
      <c r="C20" s="276"/>
      <c r="D20" s="276"/>
      <c r="E20" s="865"/>
      <c r="F20" s="866" t="s">
        <v>352</v>
      </c>
      <c r="G20" s="867">
        <f>G19+G18</f>
        <v>4963.683603457921</v>
      </c>
      <c r="H20" s="868"/>
    </row>
    <row r="21" spans="1:9" x14ac:dyDescent="0.2">
      <c r="A21" s="192" t="s">
        <v>93</v>
      </c>
      <c r="B21" s="335" t="str">
        <f>IF(C21="","",$B$12&amp;"."&amp;COUNT($F$13:F21))</f>
        <v>1.1.6</v>
      </c>
      <c r="C21" s="192" t="s">
        <v>24</v>
      </c>
      <c r="D21" s="190" t="s">
        <v>25</v>
      </c>
      <c r="E21" s="870">
        <f>SUMIFS('2. DADOS DE ENTRADA'!H:H,'2. DADOS DE ENTRADA'!A:A,'5.1 COLETA URBANA MECANIZADA'!A21,'2. DADOS DE ENTRADA'!B:B,'5.1 COLETA URBANA MECANIZADA'!$C$12)+SUMIFS('2. DADOS DE ENTRADA'!I:I,'2. DADOS DE ENTRADA'!A:A,'5.1 COLETA URBANA MECANIZADA'!A21,'2. DADOS DE ENTRADA'!B:B,'5.1 COLETA URBANA MECANIZADA'!$C$12)</f>
        <v>0</v>
      </c>
      <c r="F21" s="858">
        <f>G20</f>
        <v>4963.683603457921</v>
      </c>
      <c r="G21" s="858">
        <f>E21*F21</f>
        <v>0</v>
      </c>
      <c r="H21" s="859"/>
    </row>
    <row r="22" spans="1:9" x14ac:dyDescent="0.2">
      <c r="A22" s="192" t="s">
        <v>93</v>
      </c>
      <c r="B22" s="335" t="str">
        <f>IF(C22="","",$B$12&amp;"."&amp;COUNT($F$13:F22))</f>
        <v>1.1.7</v>
      </c>
      <c r="C22" s="189" t="s">
        <v>672</v>
      </c>
      <c r="D22" s="193" t="s">
        <v>25</v>
      </c>
      <c r="E22" s="870">
        <f>SUMIFS('2. DADOS DE ENTRADA'!K:K,'2. DADOS DE ENTRADA'!A:A,'5.1 COLETA URBANA MECANIZADA'!A21,'2. DADOS DE ENTRADA'!B:B,'5.1 COLETA URBANA MECANIZADA'!$C$12)</f>
        <v>0</v>
      </c>
      <c r="F22" s="858">
        <f>G20</f>
        <v>4963.683603457921</v>
      </c>
      <c r="G22" s="858">
        <f>E22*F22</f>
        <v>0</v>
      </c>
      <c r="H22" s="871"/>
    </row>
    <row r="23" spans="1:9" x14ac:dyDescent="0.2">
      <c r="A23" s="192" t="s">
        <v>104</v>
      </c>
      <c r="B23" s="335" t="str">
        <f>IF(C23="","",$B$12&amp;"."&amp;COUNT($F$13:F23))</f>
        <v>1.1.8</v>
      </c>
      <c r="C23" s="192" t="s">
        <v>29</v>
      </c>
      <c r="D23" s="190" t="s">
        <v>4</v>
      </c>
      <c r="E23" s="870">
        <f>SUMIFS('2. DADOS DE ENTRADA'!C:C,'2. DADOS DE ENTRADA'!A:A,'5.1 COLETA URBANA MECANIZADA'!A23,'2. DADOS DE ENTRADA'!B:B,'5.1 COLETA URBANA MECANIZADA'!$C$12)</f>
        <v>26</v>
      </c>
      <c r="F23" s="858">
        <f>'3. PREÇOS UNITÁRIOS'!D27/E23</f>
        <v>12.594230769230769</v>
      </c>
      <c r="G23" s="858">
        <f>E23*F23</f>
        <v>327.45</v>
      </c>
      <c r="H23" s="872"/>
      <c r="I23" s="426"/>
    </row>
    <row r="24" spans="1:9" x14ac:dyDescent="0.2">
      <c r="A24" s="192" t="s">
        <v>93</v>
      </c>
      <c r="B24" s="335" t="str">
        <f>IF(C24="","",$B$12&amp;"."&amp;COUNT($F$13:F24))</f>
        <v>1.1.9</v>
      </c>
      <c r="C24" s="192" t="s">
        <v>28</v>
      </c>
      <c r="D24" s="190" t="s">
        <v>25</v>
      </c>
      <c r="E24" s="870">
        <f>E21+E22</f>
        <v>0</v>
      </c>
      <c r="F24" s="858">
        <f>'3. PREÇOS UNITÁRIOS'!D27</f>
        <v>327.45</v>
      </c>
      <c r="G24" s="858">
        <f>F24*E24</f>
        <v>0</v>
      </c>
      <c r="H24" s="871"/>
    </row>
    <row r="25" spans="1:9" x14ac:dyDescent="0.2">
      <c r="B25" s="335" t="str">
        <f>IF(C25="","",$B$12&amp;"."&amp;COUNT($F$13:F25))</f>
        <v>1.1.10</v>
      </c>
      <c r="C25" s="192" t="s">
        <v>638</v>
      </c>
      <c r="D25" s="190" t="s">
        <v>25</v>
      </c>
      <c r="E25" s="870">
        <f>E24</f>
        <v>0</v>
      </c>
      <c r="F25" s="858">
        <f>'3. PREÇOS UNITÁRIOS'!D29</f>
        <v>40</v>
      </c>
      <c r="G25" s="858">
        <f>F25*E25</f>
        <v>0</v>
      </c>
      <c r="H25" s="871"/>
    </row>
    <row r="26" spans="1:9" x14ac:dyDescent="0.2">
      <c r="A26" s="379"/>
      <c r="B26" s="277"/>
      <c r="C26" s="278"/>
      <c r="D26" s="278"/>
      <c r="E26" s="873"/>
      <c r="F26" s="874" t="s">
        <v>284</v>
      </c>
      <c r="G26" s="875">
        <f>G21+G22+G24+G25</f>
        <v>0</v>
      </c>
      <c r="H26" s="876"/>
    </row>
    <row r="27" spans="1:9" s="192" customFormat="1" ht="15" x14ac:dyDescent="0.25">
      <c r="B27" s="345"/>
      <c r="D27" s="190"/>
      <c r="E27" s="857"/>
      <c r="F27" s="877"/>
      <c r="G27" s="878"/>
      <c r="H27" s="871"/>
    </row>
    <row r="28" spans="1:9" x14ac:dyDescent="0.2">
      <c r="B28" s="271" t="s">
        <v>89</v>
      </c>
      <c r="C28" s="272" t="s">
        <v>30</v>
      </c>
      <c r="D28" s="273"/>
      <c r="E28" s="879"/>
      <c r="F28" s="879"/>
      <c r="G28" s="879"/>
      <c r="H28" s="880"/>
    </row>
    <row r="29" spans="1:9" x14ac:dyDescent="0.2">
      <c r="A29" s="192" t="s">
        <v>96</v>
      </c>
      <c r="B29" s="335" t="str">
        <f>IF(C29="","",$B$28&amp;"."&amp;COUNT($F$29:F29))</f>
        <v>1.2.1</v>
      </c>
      <c r="C29" s="192" t="s">
        <v>20</v>
      </c>
      <c r="D29" s="190" t="s">
        <v>21</v>
      </c>
      <c r="E29" s="857">
        <f>SUMIFS('2. DADOS DE ENTRADA'!C:C,'2. DADOS DE ENTRADA'!A:A,'5.1 COLETA URBANA MECANIZADA'!A29,'2. DADOS DE ENTRADA'!B:B,'5.1 COLETA URBANA MECANIZADA'!$C$28)</f>
        <v>133</v>
      </c>
      <c r="F29" s="858">
        <f>'3. PREÇOS UNITÁRIOS'!D23/'5.1 COLETA URBANA MECANIZADA'!E29</f>
        <v>12.233185714285714</v>
      </c>
      <c r="G29" s="858">
        <f>E29*F29</f>
        <v>1627.0137</v>
      </c>
      <c r="H29" s="859"/>
    </row>
    <row r="30" spans="1:9" x14ac:dyDescent="0.2">
      <c r="A30" s="192" t="s">
        <v>88</v>
      </c>
      <c r="B30" s="335" t="str">
        <f>IF(C30="","",$B$28&amp;"."&amp;COUNT($F$29:F30))</f>
        <v>1.2.2</v>
      </c>
      <c r="C30" s="192" t="s">
        <v>22</v>
      </c>
      <c r="D30" s="190" t="s">
        <v>1</v>
      </c>
      <c r="E30" s="860">
        <f>SUMIFS('2. DADOS DE ENTRADA'!C:C,'2. DADOS DE ENTRADA'!A:A,'5.1 COLETA URBANA MECANIZADA'!A30,'2. DADOS DE ENTRADA'!B:B,'5.1 COLETA URBANA MECANIZADA'!$C$28)</f>
        <v>0.4</v>
      </c>
      <c r="F30" s="858">
        <f>'3. PREÇOS UNITÁRIOS'!D21</f>
        <v>1412</v>
      </c>
      <c r="G30" s="858">
        <f>E30*F30</f>
        <v>564.80000000000007</v>
      </c>
      <c r="H30" s="859"/>
      <c r="I30" s="427"/>
    </row>
    <row r="31" spans="1:9" ht="15" x14ac:dyDescent="0.25">
      <c r="B31" s="335"/>
      <c r="D31" s="190"/>
      <c r="E31" s="860"/>
      <c r="F31" s="858"/>
      <c r="G31" s="861">
        <f>SUM(G29:G30)</f>
        <v>2191.8137000000002</v>
      </c>
      <c r="H31" s="859"/>
      <c r="I31" s="427"/>
    </row>
    <row r="32" spans="1:9" s="192" customFormat="1" ht="15" x14ac:dyDescent="0.25">
      <c r="A32" s="192" t="s">
        <v>109</v>
      </c>
      <c r="B32" s="335" t="str">
        <f>IF(C32="","",$B$28&amp;"."&amp;COUNT($F$29:F32))</f>
        <v>1.2.3</v>
      </c>
      <c r="C32" s="192" t="s">
        <v>254</v>
      </c>
      <c r="D32" s="190" t="s">
        <v>21</v>
      </c>
      <c r="E32" s="862">
        <f>SUMIFS('2. DADOS DE ENTRADA'!D:D,'2. DADOS DE ENTRADA'!A:A,'5.1 COLETA URBANA MECANIZADA'!A32,'2. DADOS DE ENTRADA'!B:B,'5.1 COLETA URBANA MECANIZADA'!C28)</f>
        <v>0</v>
      </c>
      <c r="F32" s="863">
        <f>(G31/E29)*1.5</f>
        <v>24.719703383458651</v>
      </c>
      <c r="G32" s="863">
        <f>(E32)*F32</f>
        <v>0</v>
      </c>
      <c r="H32" s="864"/>
    </row>
    <row r="33" spans="1:8" s="192" customFormat="1" ht="15" x14ac:dyDescent="0.25">
      <c r="A33" s="192" t="s">
        <v>95</v>
      </c>
      <c r="B33" s="335" t="str">
        <f>IF(C33="","",$B$28&amp;"."&amp;COUNT($F$29:F33))</f>
        <v>1.2.4</v>
      </c>
      <c r="C33" s="192" t="s">
        <v>255</v>
      </c>
      <c r="D33" s="190" t="s">
        <v>21</v>
      </c>
      <c r="E33" s="862">
        <f>SUMIFS('2. DADOS DE ENTRADA'!D:D,'2. DADOS DE ENTRADA'!A:A,'5.1 COLETA URBANA MECANIZADA'!A33,'2. DADOS DE ENTRADA'!B:B,'5.1 COLETA URBANA MECANIZADA'!C28)</f>
        <v>0</v>
      </c>
      <c r="F33" s="863">
        <f>(G31/E29)*2</f>
        <v>32.959604511278201</v>
      </c>
      <c r="G33" s="863">
        <f>(E33)*F33</f>
        <v>0</v>
      </c>
      <c r="H33" s="864"/>
    </row>
    <row r="34" spans="1:8" s="192" customFormat="1" x14ac:dyDescent="0.2">
      <c r="A34" s="379"/>
      <c r="B34" s="275" t="str">
        <f>IF(C34="","",$B$28&amp;"."&amp;COUNT($F$29:F34))</f>
        <v/>
      </c>
      <c r="C34" s="276"/>
      <c r="D34" s="276"/>
      <c r="E34" s="865"/>
      <c r="F34" s="866" t="s">
        <v>352</v>
      </c>
      <c r="G34" s="867">
        <f>G31+G32+G33</f>
        <v>2191.8137000000002</v>
      </c>
      <c r="H34" s="868"/>
    </row>
    <row r="35" spans="1:8" x14ac:dyDescent="0.2">
      <c r="A35" s="192" t="s">
        <v>273</v>
      </c>
      <c r="B35" s="335" t="str">
        <f>IF(C35="","",$B$28&amp;"."&amp;COUNT($F$29:F35))</f>
        <v>1.2.5</v>
      </c>
      <c r="C35" s="192" t="s">
        <v>23</v>
      </c>
      <c r="D35" s="190" t="s">
        <v>1</v>
      </c>
      <c r="E35" s="869">
        <f>SUMIFS('2. DADOS DE ENTRADA'!C:C,'2. DADOS DE ENTRADA'!A:A,'5.1 COLETA URBANA MECANIZADA'!A35,'2. DADOS DE ENTRADA'!B:B,'5.1 COLETA URBANA MECANIZADA'!$C$28)</f>
        <v>0.71101040000000004</v>
      </c>
      <c r="F35" s="858">
        <f>G34</f>
        <v>2191.8137000000002</v>
      </c>
      <c r="G35" s="858">
        <f>(E35)*F35</f>
        <v>1558.4023355624802</v>
      </c>
      <c r="H35" s="859"/>
    </row>
    <row r="36" spans="1:8" x14ac:dyDescent="0.2">
      <c r="A36" s="379"/>
      <c r="B36" s="275" t="str">
        <f>IF(C36="","",$B$28&amp;"."&amp;COUNT($F$29:F36))</f>
        <v/>
      </c>
      <c r="C36" s="276"/>
      <c r="D36" s="276"/>
      <c r="E36" s="865"/>
      <c r="F36" s="866" t="s">
        <v>353</v>
      </c>
      <c r="G36" s="867">
        <f>G34+G35</f>
        <v>3750.2160355624801</v>
      </c>
      <c r="H36" s="868"/>
    </row>
    <row r="37" spans="1:8" x14ac:dyDescent="0.2">
      <c r="A37" s="192" t="s">
        <v>93</v>
      </c>
      <c r="B37" s="335" t="str">
        <f>IF(C37="","",$B$28&amp;"."&amp;COUNT($F$29:F37))</f>
        <v>1.2.6</v>
      </c>
      <c r="C37" s="192" t="s">
        <v>31</v>
      </c>
      <c r="D37" s="190" t="s">
        <v>25</v>
      </c>
      <c r="E37" s="870">
        <f>SUMIFS('2. DADOS DE ENTRADA'!H:H,'2. DADOS DE ENTRADA'!A:A,'5.1 COLETA URBANA MECANIZADA'!A37,'2. DADOS DE ENTRADA'!B:B,'5.1 COLETA URBANA MECANIZADA'!$C$28)+SUMIFS('2. DADOS DE ENTRADA'!I:I,'2. DADOS DE ENTRADA'!A:A,'5.1 COLETA URBANA MECANIZADA'!A37,'2. DADOS DE ENTRADA'!B:B,'5.1 COLETA URBANA MECANIZADA'!$C$28)</f>
        <v>0</v>
      </c>
      <c r="F37" s="858">
        <f>G36</f>
        <v>3750.2160355624801</v>
      </c>
      <c r="G37" s="858">
        <f>E37*F37</f>
        <v>0</v>
      </c>
      <c r="H37" s="859"/>
    </row>
    <row r="38" spans="1:8" x14ac:dyDescent="0.2">
      <c r="A38" s="192" t="s">
        <v>93</v>
      </c>
      <c r="B38" s="335" t="str">
        <f>IF(C38="","",$B$28&amp;"."&amp;COUNT($F$29:F38))</f>
        <v>1.2.7</v>
      </c>
      <c r="C38" s="189" t="s">
        <v>26</v>
      </c>
      <c r="D38" s="193" t="s">
        <v>25</v>
      </c>
      <c r="E38" s="870">
        <f>SUMIFS('2. DADOS DE ENTRADA'!K:K,'2. DADOS DE ENTRADA'!A:A,'5.1 COLETA URBANA MECANIZADA'!A38,'2. DADOS DE ENTRADA'!B:B,'5.1 COLETA URBANA MECANIZADA'!$C$28)</f>
        <v>0</v>
      </c>
      <c r="F38" s="858">
        <f>G36</f>
        <v>3750.2160355624801</v>
      </c>
      <c r="G38" s="858">
        <f>E38*F38</f>
        <v>0</v>
      </c>
      <c r="H38" s="871"/>
    </row>
    <row r="39" spans="1:8" x14ac:dyDescent="0.2">
      <c r="A39" s="192" t="s">
        <v>104</v>
      </c>
      <c r="B39" s="335" t="str">
        <f>IF(C39="","",$B$28&amp;"."&amp;COUNT($F$29:F39))</f>
        <v>1.2.8</v>
      </c>
      <c r="C39" s="192" t="s">
        <v>29</v>
      </c>
      <c r="D39" s="190" t="s">
        <v>4</v>
      </c>
      <c r="E39" s="870">
        <f>SUMIFS('2. DADOS DE ENTRADA'!C:C,'2. DADOS DE ENTRADA'!A:A,'5.1 COLETA URBANA MECANIZADA'!A39,'2. DADOS DE ENTRADA'!B:B,'5.1 COLETA URBANA MECANIZADA'!$C$28)</f>
        <v>26</v>
      </c>
      <c r="F39" s="858">
        <f>'3. PREÇOS UNITÁRIOS'!D27/E39</f>
        <v>12.594230769230769</v>
      </c>
      <c r="G39" s="858">
        <f>E39*F39</f>
        <v>327.45</v>
      </c>
      <c r="H39" s="872"/>
    </row>
    <row r="40" spans="1:8" x14ac:dyDescent="0.2">
      <c r="A40" s="192" t="s">
        <v>93</v>
      </c>
      <c r="B40" s="335" t="str">
        <f>IF(C40="","",$B$28&amp;"."&amp;COUNT($F$29:F40))</f>
        <v>1.2.9</v>
      </c>
      <c r="C40" s="192" t="s">
        <v>32</v>
      </c>
      <c r="D40" s="190" t="s">
        <v>25</v>
      </c>
      <c r="E40" s="870">
        <f>E37+E38</f>
        <v>0</v>
      </c>
      <c r="F40" s="858">
        <f>'3. PREÇOS UNITÁRIOS'!D27</f>
        <v>327.45</v>
      </c>
      <c r="G40" s="858">
        <f>F40*E40</f>
        <v>0</v>
      </c>
      <c r="H40" s="871"/>
    </row>
    <row r="41" spans="1:8" x14ac:dyDescent="0.2">
      <c r="B41" s="335" t="str">
        <f>IF(C41="","",$B$28&amp;"."&amp;COUNT($F$29:F41))</f>
        <v>1.2.10</v>
      </c>
      <c r="C41" s="192" t="s">
        <v>638</v>
      </c>
      <c r="D41" s="190" t="s">
        <v>25</v>
      </c>
      <c r="E41" s="870">
        <f>E37+E38</f>
        <v>0</v>
      </c>
      <c r="F41" s="858">
        <f>'3. PREÇOS UNITÁRIOS'!D29</f>
        <v>40</v>
      </c>
      <c r="G41" s="858">
        <f>F41*E41</f>
        <v>0</v>
      </c>
      <c r="H41" s="871"/>
    </row>
    <row r="42" spans="1:8" x14ac:dyDescent="0.2">
      <c r="A42" s="379"/>
      <c r="B42" s="277" t="str">
        <f>IF(C42="","",$B$28&amp;"."&amp;COUNT($F$29:F42))</f>
        <v/>
      </c>
      <c r="C42" s="278"/>
      <c r="D42" s="278"/>
      <c r="E42" s="873"/>
      <c r="F42" s="874" t="s">
        <v>285</v>
      </c>
      <c r="G42" s="875">
        <f>G37+G38+G40+G41</f>
        <v>0</v>
      </c>
      <c r="H42" s="876"/>
    </row>
    <row r="43" spans="1:8" x14ac:dyDescent="0.2">
      <c r="B43" s="353"/>
      <c r="C43" s="354"/>
      <c r="D43" s="355"/>
      <c r="E43" s="890"/>
      <c r="F43" s="891"/>
      <c r="G43" s="891"/>
      <c r="H43" s="892"/>
    </row>
    <row r="44" spans="1:8" x14ac:dyDescent="0.2">
      <c r="B44" s="281">
        <v>2</v>
      </c>
      <c r="C44" s="282" t="s">
        <v>39</v>
      </c>
      <c r="D44" s="283"/>
      <c r="E44" s="893"/>
      <c r="F44" s="893"/>
      <c r="G44" s="893"/>
      <c r="H44" s="894"/>
    </row>
    <row r="45" spans="1:8" ht="15" x14ac:dyDescent="0.2">
      <c r="B45" s="284"/>
      <c r="C45" s="285"/>
      <c r="D45" s="286"/>
      <c r="E45" s="895"/>
      <c r="F45" s="895"/>
      <c r="G45" s="895"/>
      <c r="H45" s="896"/>
    </row>
    <row r="46" spans="1:8" x14ac:dyDescent="0.2">
      <c r="B46" s="264" t="s">
        <v>7</v>
      </c>
      <c r="C46" s="266" t="s">
        <v>8</v>
      </c>
      <c r="D46" s="266" t="s">
        <v>9</v>
      </c>
      <c r="E46" s="920" t="s">
        <v>10</v>
      </c>
      <c r="F46" s="920" t="s">
        <v>11</v>
      </c>
      <c r="G46" s="920" t="s">
        <v>12</v>
      </c>
      <c r="H46" s="921"/>
    </row>
    <row r="47" spans="1:8" x14ac:dyDescent="0.2">
      <c r="B47" s="271">
        <v>2.1</v>
      </c>
      <c r="C47" s="415" t="s">
        <v>40</v>
      </c>
      <c r="D47" s="273"/>
      <c r="E47" s="879"/>
      <c r="F47" s="879"/>
      <c r="G47" s="879"/>
      <c r="H47" s="880"/>
    </row>
    <row r="48" spans="1:8" x14ac:dyDescent="0.2">
      <c r="B48" s="335"/>
      <c r="E48" s="881"/>
      <c r="F48" s="881"/>
      <c r="G48" s="881"/>
      <c r="H48" s="871"/>
    </row>
    <row r="49" spans="2:8" x14ac:dyDescent="0.2">
      <c r="B49" s="288" t="s">
        <v>92</v>
      </c>
      <c r="C49" s="289" t="s">
        <v>97</v>
      </c>
      <c r="D49" s="290"/>
      <c r="E49" s="899"/>
      <c r="F49" s="899"/>
      <c r="G49" s="899"/>
      <c r="H49" s="900"/>
    </row>
    <row r="50" spans="2:8" x14ac:dyDescent="0.2">
      <c r="B50" s="362" t="s">
        <v>935</v>
      </c>
      <c r="C50" s="363" t="s">
        <v>41</v>
      </c>
      <c r="D50" s="364" t="s">
        <v>4</v>
      </c>
      <c r="E50" s="922">
        <v>0</v>
      </c>
      <c r="F50" s="923">
        <f>'3. PREÇOS UNITÁRIOS'!D10</f>
        <v>81.787999999999997</v>
      </c>
      <c r="G50" s="923">
        <f>F50*E50</f>
        <v>0</v>
      </c>
      <c r="H50" s="913"/>
    </row>
    <row r="51" spans="2:8" x14ac:dyDescent="0.2">
      <c r="B51" s="335" t="s">
        <v>936</v>
      </c>
      <c r="C51" s="192" t="s">
        <v>42</v>
      </c>
      <c r="D51" s="190" t="s">
        <v>4</v>
      </c>
      <c r="E51" s="924">
        <v>0</v>
      </c>
      <c r="F51" s="858">
        <f>'3. PREÇOS UNITÁRIOS'!D11</f>
        <v>35.25</v>
      </c>
      <c r="G51" s="858">
        <f t="shared" ref="G51:G56" si="0">F51*E51</f>
        <v>0</v>
      </c>
      <c r="H51" s="859"/>
    </row>
    <row r="52" spans="2:8" x14ac:dyDescent="0.2">
      <c r="B52" s="335" t="s">
        <v>937</v>
      </c>
      <c r="C52" s="192" t="s">
        <v>43</v>
      </c>
      <c r="D52" s="190" t="s">
        <v>4</v>
      </c>
      <c r="E52" s="924">
        <v>0</v>
      </c>
      <c r="F52" s="858">
        <f>'3. PREÇOS UNITÁRIOS'!D12</f>
        <v>70.696666666666673</v>
      </c>
      <c r="G52" s="858">
        <f t="shared" si="0"/>
        <v>0</v>
      </c>
      <c r="H52" s="859"/>
    </row>
    <row r="53" spans="2:8" x14ac:dyDescent="0.2">
      <c r="B53" s="335" t="s">
        <v>938</v>
      </c>
      <c r="C53" s="192" t="s">
        <v>46</v>
      </c>
      <c r="D53" s="190" t="s">
        <v>4</v>
      </c>
      <c r="E53" s="924">
        <v>0</v>
      </c>
      <c r="F53" s="858">
        <f>'3. PREÇOS UNITÁRIOS'!D13</f>
        <v>13.563333333333333</v>
      </c>
      <c r="G53" s="858">
        <f t="shared" si="0"/>
        <v>0</v>
      </c>
      <c r="H53" s="859"/>
    </row>
    <row r="54" spans="2:8" x14ac:dyDescent="0.2">
      <c r="B54" s="335" t="s">
        <v>939</v>
      </c>
      <c r="C54" s="192" t="s">
        <v>84</v>
      </c>
      <c r="D54" s="190" t="s">
        <v>4</v>
      </c>
      <c r="E54" s="924">
        <v>0</v>
      </c>
      <c r="F54" s="858">
        <f>'3. PREÇOS UNITÁRIOS'!D15</f>
        <v>98.023333333333326</v>
      </c>
      <c r="G54" s="858">
        <f t="shared" si="0"/>
        <v>0</v>
      </c>
      <c r="H54" s="859"/>
    </row>
    <row r="55" spans="2:8" x14ac:dyDescent="0.2">
      <c r="B55" s="335" t="s">
        <v>940</v>
      </c>
      <c r="C55" s="192" t="s">
        <v>116</v>
      </c>
      <c r="D55" s="190" t="s">
        <v>4</v>
      </c>
      <c r="E55" s="924">
        <v>0</v>
      </c>
      <c r="F55" s="858">
        <f>'3. PREÇOS UNITÁRIOS'!D17</f>
        <v>6.7633333333333328</v>
      </c>
      <c r="G55" s="858">
        <f t="shared" si="0"/>
        <v>0</v>
      </c>
      <c r="H55" s="859"/>
    </row>
    <row r="56" spans="2:8" x14ac:dyDescent="0.2">
      <c r="B56" s="353" t="s">
        <v>941</v>
      </c>
      <c r="C56" s="354" t="s">
        <v>117</v>
      </c>
      <c r="D56" s="355" t="s">
        <v>4</v>
      </c>
      <c r="E56" s="925">
        <v>0</v>
      </c>
      <c r="F56" s="907">
        <f>'3. PREÇOS UNITÁRIOS'!D18</f>
        <v>26.297499999999999</v>
      </c>
      <c r="G56" s="907">
        <f t="shared" si="0"/>
        <v>0</v>
      </c>
      <c r="H56" s="892"/>
    </row>
    <row r="57" spans="2:8" x14ac:dyDescent="0.2">
      <c r="B57" s="292"/>
      <c r="C57" s="293"/>
      <c r="D57" s="293"/>
      <c r="E57" s="909"/>
      <c r="F57" s="874" t="s">
        <v>36</v>
      </c>
      <c r="G57" s="875">
        <f>SUM(G50:G56)</f>
        <v>0</v>
      </c>
      <c r="H57" s="910"/>
    </row>
    <row r="58" spans="2:8" x14ac:dyDescent="0.2">
      <c r="B58" s="335"/>
      <c r="E58" s="881"/>
      <c r="F58" s="881"/>
      <c r="G58" s="881"/>
      <c r="H58" s="871"/>
    </row>
    <row r="59" spans="2:8" x14ac:dyDescent="0.2">
      <c r="B59" s="288" t="s">
        <v>942</v>
      </c>
      <c r="C59" s="289" t="s">
        <v>98</v>
      </c>
      <c r="D59" s="290"/>
      <c r="E59" s="899"/>
      <c r="F59" s="899"/>
      <c r="G59" s="899"/>
      <c r="H59" s="900"/>
    </row>
    <row r="60" spans="2:8" x14ac:dyDescent="0.2">
      <c r="B60" s="362" t="s">
        <v>943</v>
      </c>
      <c r="C60" s="363" t="s">
        <v>41</v>
      </c>
      <c r="D60" s="364" t="s">
        <v>4</v>
      </c>
      <c r="E60" s="922">
        <v>0</v>
      </c>
      <c r="F60" s="923">
        <f>'3. PREÇOS UNITÁRIOS'!D10</f>
        <v>81.787999999999997</v>
      </c>
      <c r="G60" s="923">
        <f>E60*F60</f>
        <v>0</v>
      </c>
      <c r="H60" s="913"/>
    </row>
    <row r="61" spans="2:8" x14ac:dyDescent="0.2">
      <c r="B61" s="335" t="s">
        <v>944</v>
      </c>
      <c r="C61" s="192" t="s">
        <v>42</v>
      </c>
      <c r="D61" s="190" t="s">
        <v>4</v>
      </c>
      <c r="E61" s="924">
        <v>0</v>
      </c>
      <c r="F61" s="858">
        <f>'3. PREÇOS UNITÁRIOS'!D11</f>
        <v>35.25</v>
      </c>
      <c r="G61" s="858">
        <f t="shared" ref="G61:G67" si="1">E61*F61</f>
        <v>0</v>
      </c>
      <c r="H61" s="859"/>
    </row>
    <row r="62" spans="2:8" x14ac:dyDescent="0.2">
      <c r="B62" s="335" t="s">
        <v>945</v>
      </c>
      <c r="C62" s="192" t="s">
        <v>43</v>
      </c>
      <c r="D62" s="190" t="s">
        <v>4</v>
      </c>
      <c r="E62" s="924">
        <v>0</v>
      </c>
      <c r="F62" s="858">
        <f>'3. PREÇOS UNITÁRIOS'!D12</f>
        <v>70.696666666666673</v>
      </c>
      <c r="G62" s="858">
        <f t="shared" si="1"/>
        <v>0</v>
      </c>
      <c r="H62" s="859"/>
    </row>
    <row r="63" spans="2:8" x14ac:dyDescent="0.2">
      <c r="B63" s="335" t="s">
        <v>946</v>
      </c>
      <c r="C63" s="192" t="s">
        <v>46</v>
      </c>
      <c r="D63" s="190" t="s">
        <v>4</v>
      </c>
      <c r="E63" s="924">
        <v>0</v>
      </c>
      <c r="F63" s="858">
        <f>'3. PREÇOS UNITÁRIOS'!D13</f>
        <v>13.563333333333333</v>
      </c>
      <c r="G63" s="858">
        <f t="shared" si="1"/>
        <v>0</v>
      </c>
      <c r="H63" s="859"/>
    </row>
    <row r="64" spans="2:8" x14ac:dyDescent="0.2">
      <c r="B64" s="335" t="s">
        <v>947</v>
      </c>
      <c r="C64" s="192" t="s">
        <v>44</v>
      </c>
      <c r="D64" s="190" t="s">
        <v>4</v>
      </c>
      <c r="E64" s="924">
        <v>0</v>
      </c>
      <c r="F64" s="858">
        <f>'3. PREÇOS UNITÁRIOS'!D14</f>
        <v>23.113333333333333</v>
      </c>
      <c r="G64" s="858">
        <f t="shared" si="1"/>
        <v>0</v>
      </c>
      <c r="H64" s="859"/>
    </row>
    <row r="65" spans="2:8" x14ac:dyDescent="0.2">
      <c r="B65" s="335" t="s">
        <v>948</v>
      </c>
      <c r="C65" s="192" t="s">
        <v>84</v>
      </c>
      <c r="D65" s="190" t="s">
        <v>4</v>
      </c>
      <c r="E65" s="924">
        <v>0</v>
      </c>
      <c r="F65" s="858">
        <f>'3. PREÇOS UNITÁRIOS'!D15</f>
        <v>98.023333333333326</v>
      </c>
      <c r="G65" s="858">
        <f t="shared" si="1"/>
        <v>0</v>
      </c>
      <c r="H65" s="859"/>
    </row>
    <row r="66" spans="2:8" x14ac:dyDescent="0.2">
      <c r="B66" s="335" t="s">
        <v>949</v>
      </c>
      <c r="C66" s="192" t="s">
        <v>116</v>
      </c>
      <c r="D66" s="190" t="s">
        <v>4</v>
      </c>
      <c r="E66" s="924">
        <v>0</v>
      </c>
      <c r="F66" s="858">
        <f>'3. PREÇOS UNITÁRIOS'!D17</f>
        <v>6.7633333333333328</v>
      </c>
      <c r="G66" s="858">
        <f t="shared" si="1"/>
        <v>0</v>
      </c>
      <c r="H66" s="859"/>
    </row>
    <row r="67" spans="2:8" x14ac:dyDescent="0.2">
      <c r="B67" s="353" t="s">
        <v>950</v>
      </c>
      <c r="C67" s="354" t="s">
        <v>117</v>
      </c>
      <c r="D67" s="355" t="s">
        <v>4</v>
      </c>
      <c r="E67" s="925">
        <v>0</v>
      </c>
      <c r="F67" s="907">
        <f>'3. PREÇOS UNITÁRIOS'!D18</f>
        <v>26.297499999999999</v>
      </c>
      <c r="G67" s="907">
        <f t="shared" si="1"/>
        <v>0</v>
      </c>
      <c r="H67" s="892"/>
    </row>
    <row r="68" spans="2:8" x14ac:dyDescent="0.2">
      <c r="B68" s="292"/>
      <c r="C68" s="293"/>
      <c r="D68" s="293"/>
      <c r="E68" s="909"/>
      <c r="F68" s="874" t="s">
        <v>36</v>
      </c>
      <c r="G68" s="875">
        <f>SUM(G60:G67)</f>
        <v>0</v>
      </c>
      <c r="H68" s="910"/>
    </row>
    <row r="69" spans="2:8" x14ac:dyDescent="0.2">
      <c r="B69" s="335"/>
      <c r="E69" s="924"/>
      <c r="F69" s="929"/>
      <c r="G69" s="858"/>
      <c r="H69" s="859"/>
    </row>
    <row r="70" spans="2:8" x14ac:dyDescent="0.2">
      <c r="B70" s="288" t="s">
        <v>951</v>
      </c>
      <c r="C70" s="289" t="s">
        <v>45</v>
      </c>
      <c r="D70" s="290"/>
      <c r="E70" s="899"/>
      <c r="F70" s="899"/>
      <c r="G70" s="899"/>
      <c r="H70" s="900"/>
    </row>
    <row r="71" spans="2:8" x14ac:dyDescent="0.2">
      <c r="B71" s="362" t="s">
        <v>952</v>
      </c>
      <c r="C71" s="363" t="s">
        <v>41</v>
      </c>
      <c r="D71" s="364" t="s">
        <v>4</v>
      </c>
      <c r="E71" s="922">
        <v>0</v>
      </c>
      <c r="F71" s="923">
        <f>'3. PREÇOS UNITÁRIOS'!D10</f>
        <v>81.787999999999997</v>
      </c>
      <c r="G71" s="923">
        <f>E71*F71</f>
        <v>0</v>
      </c>
      <c r="H71" s="913"/>
    </row>
    <row r="72" spans="2:8" x14ac:dyDescent="0.2">
      <c r="B72" s="335" t="s">
        <v>953</v>
      </c>
      <c r="C72" s="192" t="s">
        <v>42</v>
      </c>
      <c r="D72" s="190" t="s">
        <v>4</v>
      </c>
      <c r="E72" s="924">
        <v>0</v>
      </c>
      <c r="F72" s="858">
        <f>'3. PREÇOS UNITÁRIOS'!D11</f>
        <v>35.25</v>
      </c>
      <c r="G72" s="858">
        <f t="shared" ref="G72:G78" si="2">E72*F72</f>
        <v>0</v>
      </c>
      <c r="H72" s="859"/>
    </row>
    <row r="73" spans="2:8" x14ac:dyDescent="0.2">
      <c r="B73" s="335" t="s">
        <v>954</v>
      </c>
      <c r="C73" s="192" t="s">
        <v>115</v>
      </c>
      <c r="D73" s="190" t="s">
        <v>4</v>
      </c>
      <c r="E73" s="924">
        <v>0</v>
      </c>
      <c r="F73" s="858">
        <f>'3. PREÇOS UNITÁRIOS'!D12</f>
        <v>70.696666666666673</v>
      </c>
      <c r="G73" s="858">
        <f t="shared" si="2"/>
        <v>0</v>
      </c>
      <c r="H73" s="859"/>
    </row>
    <row r="74" spans="2:8" x14ac:dyDescent="0.2">
      <c r="B74" s="335" t="s">
        <v>955</v>
      </c>
      <c r="C74" s="192" t="s">
        <v>46</v>
      </c>
      <c r="D74" s="190" t="s">
        <v>4</v>
      </c>
      <c r="E74" s="924">
        <v>0</v>
      </c>
      <c r="F74" s="858">
        <f>'3. PREÇOS UNITÁRIOS'!D13</f>
        <v>13.563333333333333</v>
      </c>
      <c r="G74" s="858">
        <f t="shared" si="2"/>
        <v>0</v>
      </c>
      <c r="H74" s="859"/>
    </row>
    <row r="75" spans="2:8" x14ac:dyDescent="0.2">
      <c r="B75" s="335" t="s">
        <v>956</v>
      </c>
      <c r="C75" s="192" t="s">
        <v>84</v>
      </c>
      <c r="D75" s="190" t="s">
        <v>4</v>
      </c>
      <c r="E75" s="924">
        <v>0</v>
      </c>
      <c r="F75" s="858">
        <f>'3. PREÇOS UNITÁRIOS'!D15</f>
        <v>98.023333333333326</v>
      </c>
      <c r="G75" s="858">
        <f t="shared" si="2"/>
        <v>0</v>
      </c>
      <c r="H75" s="859"/>
    </row>
    <row r="76" spans="2:8" x14ac:dyDescent="0.2">
      <c r="B76" s="335" t="s">
        <v>957</v>
      </c>
      <c r="C76" s="192" t="s">
        <v>47</v>
      </c>
      <c r="D76" s="190" t="s">
        <v>4</v>
      </c>
      <c r="E76" s="924">
        <v>0</v>
      </c>
      <c r="F76" s="858">
        <f>'3. PREÇOS UNITÁRIOS'!D16</f>
        <v>14.2325</v>
      </c>
      <c r="G76" s="858">
        <f t="shared" si="2"/>
        <v>0</v>
      </c>
      <c r="H76" s="859"/>
    </row>
    <row r="77" spans="2:8" x14ac:dyDescent="0.2">
      <c r="B77" s="335" t="s">
        <v>958</v>
      </c>
      <c r="C77" s="192" t="s">
        <v>116</v>
      </c>
      <c r="D77" s="190" t="s">
        <v>4</v>
      </c>
      <c r="E77" s="924">
        <v>0</v>
      </c>
      <c r="F77" s="858">
        <f>'3. PREÇOS UNITÁRIOS'!D17</f>
        <v>6.7633333333333328</v>
      </c>
      <c r="G77" s="858">
        <f t="shared" si="2"/>
        <v>0</v>
      </c>
      <c r="H77" s="859"/>
    </row>
    <row r="78" spans="2:8" x14ac:dyDescent="0.2">
      <c r="B78" s="353" t="s">
        <v>959</v>
      </c>
      <c r="C78" s="354" t="s">
        <v>117</v>
      </c>
      <c r="D78" s="355" t="s">
        <v>4</v>
      </c>
      <c r="E78" s="925">
        <v>0</v>
      </c>
      <c r="F78" s="907">
        <f>'3. PREÇOS UNITÁRIOS'!D18</f>
        <v>26.297499999999999</v>
      </c>
      <c r="G78" s="907">
        <f t="shared" si="2"/>
        <v>0</v>
      </c>
      <c r="H78" s="892"/>
    </row>
    <row r="79" spans="2:8" x14ac:dyDescent="0.2">
      <c r="B79" s="292"/>
      <c r="C79" s="293"/>
      <c r="D79" s="293"/>
      <c r="E79" s="909"/>
      <c r="F79" s="874" t="s">
        <v>36</v>
      </c>
      <c r="G79" s="875">
        <f>SUM(G71:G78)</f>
        <v>0</v>
      </c>
      <c r="H79" s="910"/>
    </row>
    <row r="80" spans="2:8" ht="15" x14ac:dyDescent="0.2">
      <c r="B80" s="416"/>
      <c r="C80" s="417"/>
      <c r="D80" s="417"/>
      <c r="E80" s="1037" t="s">
        <v>292</v>
      </c>
      <c r="F80" s="1037"/>
      <c r="G80" s="1037">
        <f>G79+G68+G57</f>
        <v>0</v>
      </c>
      <c r="H80" s="1038"/>
    </row>
    <row r="81" spans="1:14" s="192" customFormat="1" ht="15" x14ac:dyDescent="0.2">
      <c r="B81" s="302"/>
      <c r="C81" s="303"/>
      <c r="D81" s="303"/>
      <c r="E81" s="933"/>
      <c r="F81" s="933"/>
      <c r="G81" s="933"/>
      <c r="H81" s="934"/>
    </row>
    <row r="82" spans="1:14" s="192" customFormat="1" ht="15" x14ac:dyDescent="0.2">
      <c r="B82" s="416"/>
      <c r="C82" s="417"/>
      <c r="D82" s="417"/>
      <c r="E82" s="1037" t="s">
        <v>620</v>
      </c>
      <c r="F82" s="1037"/>
      <c r="G82" s="1037">
        <f>+G80</f>
        <v>0</v>
      </c>
      <c r="H82" s="1038"/>
    </row>
    <row r="83" spans="1:14" x14ac:dyDescent="0.2">
      <c r="B83" s="373"/>
      <c r="C83" s="374"/>
      <c r="D83" s="374"/>
      <c r="E83" s="935"/>
      <c r="F83" s="935"/>
      <c r="G83" s="936"/>
      <c r="H83" s="937"/>
    </row>
    <row r="84" spans="1:14" s="192" customFormat="1" ht="15" x14ac:dyDescent="0.2">
      <c r="B84" s="418" t="s">
        <v>17</v>
      </c>
      <c r="C84" s="161" t="s">
        <v>6</v>
      </c>
      <c r="D84" s="160"/>
      <c r="E84" s="1039"/>
      <c r="F84" s="1039"/>
      <c r="G84" s="1039"/>
      <c r="H84" s="1040"/>
      <c r="I84" s="189"/>
      <c r="J84" s="189"/>
      <c r="K84" s="189"/>
      <c r="L84" s="189"/>
      <c r="M84" s="189"/>
      <c r="N84" s="189"/>
    </row>
    <row r="85" spans="1:14" s="192" customFormat="1" ht="15" x14ac:dyDescent="0.2">
      <c r="B85" s="284"/>
      <c r="C85" s="285"/>
      <c r="D85" s="286"/>
      <c r="E85" s="895"/>
      <c r="F85" s="895"/>
      <c r="G85" s="895"/>
      <c r="H85" s="896"/>
    </row>
    <row r="86" spans="1:14" s="192" customFormat="1" ht="15" x14ac:dyDescent="0.2">
      <c r="B86" s="420" t="s">
        <v>7</v>
      </c>
      <c r="C86" s="421" t="s">
        <v>8</v>
      </c>
      <c r="D86" s="422" t="s">
        <v>9</v>
      </c>
      <c r="E86" s="1041" t="s">
        <v>10</v>
      </c>
      <c r="F86" s="1041" t="s">
        <v>11</v>
      </c>
      <c r="G86" s="1041" t="s">
        <v>12</v>
      </c>
      <c r="H86" s="1042"/>
      <c r="I86" s="189"/>
      <c r="J86" s="189"/>
      <c r="K86" s="189"/>
      <c r="L86" s="189"/>
      <c r="M86" s="189"/>
      <c r="N86" s="189"/>
    </row>
    <row r="87" spans="1:14" s="192" customFormat="1" x14ac:dyDescent="0.2">
      <c r="B87" s="288" t="s">
        <v>109</v>
      </c>
      <c r="C87" s="289" t="s">
        <v>13</v>
      </c>
      <c r="D87" s="290"/>
      <c r="E87" s="899"/>
      <c r="F87" s="899"/>
      <c r="G87" s="899"/>
      <c r="H87" s="900"/>
      <c r="I87" s="189"/>
      <c r="J87" s="189"/>
      <c r="K87" s="189"/>
      <c r="L87" s="189"/>
      <c r="M87" s="189"/>
      <c r="N87" s="189"/>
    </row>
    <row r="88" spans="1:14" s="192" customFormat="1" ht="14.25" customHeight="1" x14ac:dyDescent="0.2">
      <c r="A88" s="192" t="s">
        <v>275</v>
      </c>
      <c r="B88" s="362" t="str">
        <f>IF(C88="","",$B$87&amp;"."&amp;COUNT($F$88:F88))</f>
        <v>3.1.1</v>
      </c>
      <c r="C88" s="363" t="str">
        <f>'2. DADOS DE ENTRADA'!B215</f>
        <v>Caminhão para caçamba coletora compactadora com capacidade mínima de 15 m³ - Operando em 2 turnos</v>
      </c>
      <c r="D88" s="364" t="s">
        <v>4</v>
      </c>
      <c r="E88" s="922">
        <f>SUMIFS('2. DADOS DE ENTRADA'!F:F,'2. DADOS DE ENTRADA'!A:A,'5.1 COLETA URBANA MECANIZADA'!A88,'2. DADOS DE ENTRADA'!B:B,'5.1 COLETA URBANA MECANIZADA'!C88)</f>
        <v>0</v>
      </c>
      <c r="F88" s="923">
        <f>'3. PREÇOS UNITÁRIOS'!D35</f>
        <v>234125</v>
      </c>
      <c r="G88" s="923">
        <f t="shared" ref="G88:G96" si="3">E88*F88</f>
        <v>0</v>
      </c>
      <c r="H88" s="913"/>
      <c r="I88" s="189"/>
      <c r="J88" s="189"/>
      <c r="K88" s="189"/>
      <c r="L88" s="189"/>
      <c r="M88" s="189"/>
      <c r="N88" s="189"/>
    </row>
    <row r="89" spans="1:14" s="192" customFormat="1" ht="12.75" customHeight="1" x14ac:dyDescent="0.2">
      <c r="A89" s="192" t="s">
        <v>275</v>
      </c>
      <c r="B89" s="335" t="str">
        <f>IF(C89="","",$B$87&amp;"."&amp;COUNT($F$88:F89))</f>
        <v>3.1.2</v>
      </c>
      <c r="C89" s="192" t="str">
        <f>'2. DADOS DE ENTRADA'!B216</f>
        <v>Caminhão para caçamba coletora compactadora com capacidade mínima de 15 m³ -  Operando em 1 turno</v>
      </c>
      <c r="D89" s="190" t="s">
        <v>4</v>
      </c>
      <c r="E89" s="924">
        <f>SUMIFS('2. DADOS DE ENTRADA'!F:F,'2. DADOS DE ENTRADA'!A:A,'5.1 COLETA URBANA MECANIZADA'!A89,'2. DADOS DE ENTRADA'!B:B,'5.1 COLETA URBANA MECANIZADA'!C89)</f>
        <v>0</v>
      </c>
      <c r="F89" s="858">
        <f>'3. PREÇOS UNITÁRIOS'!D35</f>
        <v>234125</v>
      </c>
      <c r="G89" s="858">
        <f t="shared" si="3"/>
        <v>0</v>
      </c>
      <c r="H89" s="859"/>
      <c r="I89" s="189"/>
      <c r="J89" s="189"/>
      <c r="K89" s="189"/>
      <c r="L89" s="189"/>
      <c r="M89" s="189"/>
      <c r="N89" s="189"/>
    </row>
    <row r="90" spans="1:14" s="192" customFormat="1" x14ac:dyDescent="0.2">
      <c r="A90" s="192" t="s">
        <v>275</v>
      </c>
      <c r="B90" s="335" t="str">
        <f>IF(C90="","",$B$87&amp;"."&amp;COUNT($F$88:F90))</f>
        <v>3.1.3</v>
      </c>
      <c r="C90" s="192" t="str">
        <f>'2. DADOS DE ENTRADA'!B217</f>
        <v xml:space="preserve">Caminhão para caçamba coletora compactadora com capacidade mínima de 15 m³ - Reserva </v>
      </c>
      <c r="D90" s="190" t="s">
        <v>4</v>
      </c>
      <c r="E90" s="924">
        <f>SUMIFS('2. DADOS DE ENTRADA'!F:F,'2. DADOS DE ENTRADA'!A:A,'5.1 COLETA URBANA MECANIZADA'!A90,'2. DADOS DE ENTRADA'!B:B,'5.1 COLETA URBANA MECANIZADA'!C90)</f>
        <v>0</v>
      </c>
      <c r="F90" s="858">
        <f>'3. PREÇOS UNITÁRIOS'!D35</f>
        <v>234125</v>
      </c>
      <c r="G90" s="858">
        <f t="shared" si="3"/>
        <v>0</v>
      </c>
      <c r="H90" s="859"/>
      <c r="I90" s="189"/>
      <c r="J90" s="189"/>
      <c r="K90" s="189"/>
      <c r="L90" s="189"/>
      <c r="M90" s="189"/>
      <c r="N90" s="189"/>
    </row>
    <row r="91" spans="1:14" s="192" customFormat="1" x14ac:dyDescent="0.2">
      <c r="B91" s="335" t="str">
        <f>IF(C91="","",$B$87&amp;"."&amp;COUNT($F$88:F91))</f>
        <v>3.1.4</v>
      </c>
      <c r="C91" s="192" t="str">
        <f>'2. DADOS DE ENTRADA'!B224</f>
        <v>Caçamba compactadora de 15m³- operando em 2 turnos</v>
      </c>
      <c r="D91" s="190" t="s">
        <v>4</v>
      </c>
      <c r="E91" s="924">
        <f>SUMIFS('2. DADOS DE ENTRADA'!F:F,'2. DADOS DE ENTRADA'!A:A,'5.1 COLETA URBANA MECANIZADA'!A88,'2. DADOS DE ENTRADA'!B:B,'5.1 COLETA URBANA MECANIZADA'!C91)</f>
        <v>0</v>
      </c>
      <c r="F91" s="858">
        <f>'3. PREÇOS UNITÁRIOS'!D36</f>
        <v>81966.28</v>
      </c>
      <c r="G91" s="858">
        <f t="shared" si="3"/>
        <v>0</v>
      </c>
      <c r="H91" s="859"/>
      <c r="I91" s="189"/>
      <c r="J91" s="189"/>
      <c r="K91" s="189"/>
      <c r="L91" s="189"/>
      <c r="M91" s="189"/>
      <c r="N91" s="189"/>
    </row>
    <row r="92" spans="1:14" s="192" customFormat="1" x14ac:dyDescent="0.2">
      <c r="B92" s="335" t="str">
        <f>IF(C92="","",$B$87&amp;"."&amp;COUNT($F$88:F92))</f>
        <v>3.1.5</v>
      </c>
      <c r="C92" s="192" t="str">
        <f>'2. DADOS DE ENTRADA'!B225</f>
        <v>Caçamba compactadora de 15m³ - Operando em 1 turno</v>
      </c>
      <c r="D92" s="190"/>
      <c r="E92" s="924">
        <f>SUMIFS('2. DADOS DE ENTRADA'!F:F,'2. DADOS DE ENTRADA'!A:A,'5.1 COLETA URBANA MECANIZADA'!A89,'2. DADOS DE ENTRADA'!B:B,'5.1 COLETA URBANA MECANIZADA'!C92)</f>
        <v>0</v>
      </c>
      <c r="F92" s="858">
        <f>'3. PREÇOS UNITÁRIOS'!D36</f>
        <v>81966.28</v>
      </c>
      <c r="G92" s="858">
        <f t="shared" si="3"/>
        <v>0</v>
      </c>
      <c r="H92" s="859"/>
      <c r="I92" s="189"/>
      <c r="J92" s="189"/>
      <c r="K92" s="189"/>
      <c r="L92" s="189"/>
      <c r="M92" s="189"/>
      <c r="N92" s="189"/>
    </row>
    <row r="93" spans="1:14" s="192" customFormat="1" x14ac:dyDescent="0.2">
      <c r="B93" s="335" t="str">
        <f>IF(C93="","",$B$87&amp;"."&amp;COUNT($F$88:F93))</f>
        <v>3.1.6</v>
      </c>
      <c r="C93" s="192" t="str">
        <f>'2. DADOS DE ENTRADA'!B226</f>
        <v xml:space="preserve">Caçamba compactadora de 15m³ - Reserva </v>
      </c>
      <c r="D93" s="190" t="s">
        <v>4</v>
      </c>
      <c r="E93" s="924">
        <f>SUMIFS('2. DADOS DE ENTRADA'!F:F,'2. DADOS DE ENTRADA'!A:A,'5.1 COLETA URBANA MECANIZADA'!A90,'2. DADOS DE ENTRADA'!B:B,'5.1 COLETA URBANA MECANIZADA'!C93)</f>
        <v>0</v>
      </c>
      <c r="F93" s="858">
        <f>'3. PREÇOS UNITÁRIOS'!D36</f>
        <v>81966.28</v>
      </c>
      <c r="G93" s="858">
        <f t="shared" si="3"/>
        <v>0</v>
      </c>
      <c r="H93" s="859"/>
      <c r="I93" s="189"/>
      <c r="J93" s="189"/>
      <c r="K93" s="189"/>
      <c r="L93" s="189"/>
      <c r="M93" s="189"/>
      <c r="N93" s="189"/>
    </row>
    <row r="94" spans="1:14" s="192" customFormat="1" x14ac:dyDescent="0.2">
      <c r="A94" s="192" t="s">
        <v>275</v>
      </c>
      <c r="B94" s="335" t="str">
        <f>IF(C94="","",$B$87&amp;"."&amp;COUNT($F$88:F94))</f>
        <v>3.1.7</v>
      </c>
      <c r="C94" s="192" t="str">
        <f>'2. DADOS DE ENTRADA'!B221</f>
        <v>Dispositivo para coleta mecanizada (conteinerizada) em 1 turnos</v>
      </c>
      <c r="D94" s="190" t="s">
        <v>4</v>
      </c>
      <c r="E94" s="924">
        <f>SUMIFS('2. DADOS DE ENTRADA'!F:F,'2. DADOS DE ENTRADA'!A:A,'5.1 COLETA URBANA MECANIZADA'!A94,'2. DADOS DE ENTRADA'!B:B,'5.1 COLETA URBANA MECANIZADA'!C94)</f>
        <v>1</v>
      </c>
      <c r="F94" s="858">
        <f>'3. PREÇOS UNITÁRIOS'!D37</f>
        <v>6650.619999999999</v>
      </c>
      <c r="G94" s="858">
        <f t="shared" si="3"/>
        <v>6650.619999999999</v>
      </c>
      <c r="H94" s="859"/>
      <c r="I94" s="189"/>
      <c r="J94" s="189"/>
      <c r="K94" s="189"/>
      <c r="L94" s="189"/>
      <c r="M94" s="189"/>
      <c r="N94" s="189"/>
    </row>
    <row r="95" spans="1:14" s="192" customFormat="1" x14ac:dyDescent="0.2">
      <c r="A95" s="192" t="s">
        <v>275</v>
      </c>
      <c r="B95" s="335" t="str">
        <f>IF(C95="","",$B$87&amp;"."&amp;COUNT($F$88:F95))</f>
        <v>3.1.8</v>
      </c>
      <c r="C95" s="192" t="str">
        <f>'2. DADOS DE ENTRADA'!B222</f>
        <v>Dispositivo para coleta mecanizada (conteinerizada) - Reserva</v>
      </c>
      <c r="D95" s="190" t="s">
        <v>4</v>
      </c>
      <c r="E95" s="924">
        <f>SUMIFS('2. DADOS DE ENTRADA'!F:F,'2. DADOS DE ENTRADA'!A:A,'5.1 COLETA URBANA MECANIZADA'!A95,'2. DADOS DE ENTRADA'!B:B,'5.1 COLETA URBANA MECANIZADA'!C95)</f>
        <v>1</v>
      </c>
      <c r="F95" s="858">
        <f>'3. PREÇOS UNITÁRIOS'!D37</f>
        <v>6650.619999999999</v>
      </c>
      <c r="G95" s="858">
        <f t="shared" si="3"/>
        <v>6650.619999999999</v>
      </c>
      <c r="H95" s="859"/>
      <c r="I95" s="189"/>
      <c r="J95" s="189"/>
      <c r="K95" s="189"/>
      <c r="L95" s="189"/>
      <c r="M95" s="189"/>
      <c r="N95" s="189"/>
    </row>
    <row r="96" spans="1:14" s="192" customFormat="1" x14ac:dyDescent="0.2">
      <c r="B96" s="353" t="str">
        <f>IF(C96="","",$B$87&amp;"."&amp;COUNT($F$88:F96))</f>
        <v>3.1.9</v>
      </c>
      <c r="C96" s="354" t="str">
        <f>'2. DADOS DE ENTRADA'!B238</f>
        <v>Contentor 1 m³</v>
      </c>
      <c r="D96" s="355" t="s">
        <v>4</v>
      </c>
      <c r="E96" s="925">
        <v>110</v>
      </c>
      <c r="F96" s="907">
        <f>'3. PREÇOS UNITÁRIOS'!D39</f>
        <v>1800.25</v>
      </c>
      <c r="G96" s="907">
        <f t="shared" si="3"/>
        <v>198027.5</v>
      </c>
      <c r="H96" s="892"/>
      <c r="I96" s="189"/>
      <c r="J96" s="189"/>
      <c r="K96" s="189"/>
      <c r="L96" s="189"/>
      <c r="M96" s="189"/>
      <c r="N96" s="189"/>
    </row>
    <row r="97" spans="1:14" s="192" customFormat="1" x14ac:dyDescent="0.2">
      <c r="B97" s="292"/>
      <c r="C97" s="293"/>
      <c r="D97" s="293"/>
      <c r="E97" s="909"/>
      <c r="F97" s="874" t="s">
        <v>36</v>
      </c>
      <c r="G97" s="875">
        <f>SUM(G88:G96)</f>
        <v>211328.74</v>
      </c>
      <c r="H97" s="910"/>
      <c r="I97" s="189"/>
      <c r="J97" s="189"/>
      <c r="K97" s="189"/>
      <c r="L97" s="189"/>
      <c r="M97" s="189"/>
      <c r="N97" s="189"/>
    </row>
    <row r="98" spans="1:14" s="192" customFormat="1" ht="15" x14ac:dyDescent="0.25">
      <c r="B98" s="378"/>
      <c r="C98" s="379"/>
      <c r="D98" s="379"/>
      <c r="E98" s="945"/>
      <c r="F98" s="877"/>
      <c r="G98" s="861"/>
      <c r="H98" s="905"/>
    </row>
    <row r="99" spans="1:14" s="192" customFormat="1" x14ac:dyDescent="0.2">
      <c r="B99" s="288" t="s">
        <v>694</v>
      </c>
      <c r="C99" s="289" t="s">
        <v>360</v>
      </c>
      <c r="D99" s="290"/>
      <c r="E99" s="899"/>
      <c r="F99" s="899"/>
      <c r="G99" s="899"/>
      <c r="H99" s="900"/>
      <c r="I99" s="189"/>
      <c r="J99" s="189"/>
      <c r="K99" s="189"/>
      <c r="L99" s="189"/>
      <c r="M99" s="189"/>
      <c r="N99" s="189"/>
    </row>
    <row r="100" spans="1:14" s="192" customFormat="1" x14ac:dyDescent="0.2">
      <c r="A100" s="192" t="s">
        <v>275</v>
      </c>
      <c r="B100" s="353" t="str">
        <f>IF(C100="","",$B$99&amp;"."&amp;COUNT($F$100:F100))</f>
        <v>3.2.1</v>
      </c>
      <c r="C100" s="354" t="str">
        <f>'2. DADOS DE ENTRADA'!B228</f>
        <v>Veículo de apoio tipo picape.</v>
      </c>
      <c r="D100" s="355" t="s">
        <v>4</v>
      </c>
      <c r="E100" s="925">
        <f>SUMIFS('2. DADOS DE ENTRADA'!F:F,'2. DADOS DE ENTRADA'!A:A,'5.1 COLETA URBANA MECANIZADA'!A100,'2. DADOS DE ENTRADA'!B:B,'5.1 COLETA URBANA MECANIZADA'!C100)</f>
        <v>0</v>
      </c>
      <c r="F100" s="907">
        <f>'3. PREÇOS UNITÁRIOS'!D38</f>
        <v>0</v>
      </c>
      <c r="G100" s="907">
        <f>E100*F100</f>
        <v>0</v>
      </c>
      <c r="H100" s="892"/>
      <c r="I100" s="189"/>
      <c r="J100" s="189"/>
      <c r="K100" s="189"/>
      <c r="L100" s="189"/>
      <c r="M100" s="189"/>
      <c r="N100" s="189"/>
    </row>
    <row r="101" spans="1:14" x14ac:dyDescent="0.2">
      <c r="B101" s="292"/>
      <c r="C101" s="293"/>
      <c r="D101" s="293"/>
      <c r="E101" s="909"/>
      <c r="F101" s="874" t="s">
        <v>36</v>
      </c>
      <c r="G101" s="875">
        <f>SUM(G100:G100)</f>
        <v>0</v>
      </c>
      <c r="H101" s="910"/>
    </row>
    <row r="102" spans="1:14" ht="15" x14ac:dyDescent="0.2">
      <c r="B102" s="416"/>
      <c r="C102" s="417"/>
      <c r="D102" s="417" t="s">
        <v>309</v>
      </c>
      <c r="E102" s="1037"/>
      <c r="F102" s="1037"/>
      <c r="G102" s="1037">
        <f>G97+G101</f>
        <v>211328.74</v>
      </c>
      <c r="H102" s="1038"/>
      <c r="I102" s="224"/>
    </row>
    <row r="103" spans="1:14" x14ac:dyDescent="0.2">
      <c r="B103" s="373"/>
      <c r="C103" s="374"/>
      <c r="D103" s="374"/>
      <c r="E103" s="936"/>
      <c r="F103" s="936"/>
      <c r="G103" s="936"/>
      <c r="H103" s="950"/>
      <c r="I103" s="224"/>
    </row>
    <row r="104" spans="1:14" ht="15" x14ac:dyDescent="0.2">
      <c r="B104" s="418" t="s">
        <v>38</v>
      </c>
      <c r="C104" s="161" t="s">
        <v>49</v>
      </c>
      <c r="D104" s="160"/>
      <c r="E104" s="1039"/>
      <c r="F104" s="1039"/>
      <c r="G104" s="1039"/>
      <c r="H104" s="1040"/>
      <c r="I104" s="192"/>
      <c r="J104" s="192"/>
      <c r="K104" s="192"/>
      <c r="L104" s="192"/>
    </row>
    <row r="105" spans="1:14" ht="15" x14ac:dyDescent="0.2">
      <c r="B105" s="284"/>
      <c r="C105" s="285"/>
      <c r="D105" s="286"/>
      <c r="E105" s="895"/>
      <c r="F105" s="895"/>
      <c r="G105" s="895"/>
      <c r="H105" s="896"/>
      <c r="I105" s="192"/>
      <c r="J105" s="192"/>
      <c r="K105" s="192"/>
      <c r="L105" s="192"/>
    </row>
    <row r="106" spans="1:14" ht="15" x14ac:dyDescent="0.2">
      <c r="B106" s="420" t="s">
        <v>7</v>
      </c>
      <c r="C106" s="421" t="s">
        <v>8</v>
      </c>
      <c r="D106" s="422" t="s">
        <v>9</v>
      </c>
      <c r="E106" s="1041" t="s">
        <v>10</v>
      </c>
      <c r="F106" s="1041" t="s">
        <v>11</v>
      </c>
      <c r="G106" s="1041" t="s">
        <v>12</v>
      </c>
      <c r="H106" s="1042"/>
      <c r="I106" s="192"/>
      <c r="J106" s="192"/>
      <c r="K106" s="192"/>
      <c r="L106" s="192"/>
    </row>
    <row r="107" spans="1:14" x14ac:dyDescent="0.2">
      <c r="B107" s="288" t="s">
        <v>95</v>
      </c>
      <c r="C107" s="289" t="s">
        <v>101</v>
      </c>
      <c r="D107" s="290"/>
      <c r="E107" s="899"/>
      <c r="F107" s="899"/>
      <c r="G107" s="899"/>
      <c r="H107" s="900"/>
      <c r="I107" s="192"/>
      <c r="J107" s="192"/>
      <c r="K107" s="192"/>
      <c r="L107" s="192"/>
    </row>
    <row r="108" spans="1:14" x14ac:dyDescent="0.2">
      <c r="B108" s="362" t="s">
        <v>695</v>
      </c>
      <c r="C108" s="363" t="s">
        <v>305</v>
      </c>
      <c r="D108" s="364" t="s">
        <v>1</v>
      </c>
      <c r="E108" s="951">
        <f>'2. DADOS DE ENTRADA'!C215</f>
        <v>0.65180000000000005</v>
      </c>
      <c r="F108" s="952">
        <f>(F88*E88)-(E88*6*F152)</f>
        <v>0</v>
      </c>
      <c r="G108" s="926">
        <f>(F108/'2. DADOS DE ENTRADA'!D215)*E108</f>
        <v>0</v>
      </c>
      <c r="H108" s="953"/>
      <c r="I108" s="413"/>
      <c r="J108" s="224"/>
      <c r="K108" s="413"/>
      <c r="L108" s="192"/>
    </row>
    <row r="109" spans="1:14" x14ac:dyDescent="0.2">
      <c r="B109" s="335" t="s">
        <v>803</v>
      </c>
      <c r="C109" s="192" t="s">
        <v>785</v>
      </c>
      <c r="D109" s="190" t="s">
        <v>1</v>
      </c>
      <c r="E109" s="954">
        <f>'2. DADOS DE ENTRADA'!C216</f>
        <v>0.65180000000000005</v>
      </c>
      <c r="F109" s="955">
        <f>(F89*E89)-(E89*6*F152)</f>
        <v>0</v>
      </c>
      <c r="G109" s="927">
        <f>(F109/'2. DADOS DE ENTRADA'!D216)*E109</f>
        <v>0</v>
      </c>
      <c r="H109" s="956"/>
      <c r="I109" s="413"/>
      <c r="J109" s="224"/>
      <c r="K109" s="413"/>
      <c r="L109" s="192"/>
    </row>
    <row r="110" spans="1:14" x14ac:dyDescent="0.2">
      <c r="B110" s="335" t="s">
        <v>696</v>
      </c>
      <c r="C110" s="192" t="s">
        <v>306</v>
      </c>
      <c r="D110" s="190" t="s">
        <v>1</v>
      </c>
      <c r="E110" s="954">
        <f>'2. DADOS DE ENTRADA'!C217</f>
        <v>0.65180000000000005</v>
      </c>
      <c r="F110" s="927">
        <f>(F90*E90)-(E90*6*F152)</f>
        <v>0</v>
      </c>
      <c r="G110" s="927">
        <f>(F110/'2. DADOS DE ENTRADA'!D217)*E110</f>
        <v>0</v>
      </c>
      <c r="H110" s="956"/>
      <c r="I110" s="381"/>
      <c r="J110" s="192"/>
      <c r="K110" s="192"/>
      <c r="L110" s="192"/>
    </row>
    <row r="111" spans="1:14" x14ac:dyDescent="0.2">
      <c r="B111" s="335" t="s">
        <v>804</v>
      </c>
      <c r="C111" s="192" t="s">
        <v>784</v>
      </c>
      <c r="D111" s="190" t="s">
        <v>1</v>
      </c>
      <c r="E111" s="954">
        <f>'2. DADOS DE ENTRADA'!C215</f>
        <v>0.65180000000000005</v>
      </c>
      <c r="F111" s="927">
        <f t="shared" ref="F111:F116" si="4">F91*E91</f>
        <v>0</v>
      </c>
      <c r="G111" s="927">
        <f>(F111/'2. DADOS DE ENTRADA'!D224)*'5.1 COLETA URBANA MECANIZADA'!E111</f>
        <v>0</v>
      </c>
      <c r="H111" s="956"/>
      <c r="I111" s="413"/>
      <c r="J111" s="413"/>
      <c r="K111" s="192"/>
      <c r="L111" s="192"/>
    </row>
    <row r="112" spans="1:14" x14ac:dyDescent="0.2">
      <c r="B112" s="335" t="s">
        <v>697</v>
      </c>
      <c r="C112" s="192" t="s">
        <v>652</v>
      </c>
      <c r="D112" s="190" t="s">
        <v>1</v>
      </c>
      <c r="E112" s="954">
        <f>'2. DADOS DE ENTRADA'!C225</f>
        <v>0.65180000000000005</v>
      </c>
      <c r="F112" s="927">
        <f t="shared" si="4"/>
        <v>0</v>
      </c>
      <c r="G112" s="927">
        <f>(F112/'2. DADOS DE ENTRADA'!D225)*'5.1 COLETA URBANA MECANIZADA'!E112</f>
        <v>0</v>
      </c>
      <c r="H112" s="956"/>
      <c r="I112" s="413"/>
      <c r="J112" s="413"/>
      <c r="K112" s="192"/>
      <c r="L112" s="192"/>
    </row>
    <row r="113" spans="2:11" x14ac:dyDescent="0.2">
      <c r="B113" s="335" t="s">
        <v>960</v>
      </c>
      <c r="C113" s="192" t="s">
        <v>308</v>
      </c>
      <c r="D113" s="190" t="s">
        <v>1</v>
      </c>
      <c r="E113" s="954">
        <f>'2. DADOS DE ENTRADA'!C217</f>
        <v>0.65180000000000005</v>
      </c>
      <c r="F113" s="927">
        <f t="shared" si="4"/>
        <v>0</v>
      </c>
      <c r="G113" s="927">
        <f>(F113/'2. DADOS DE ENTRADA'!D226)*'5.1 COLETA URBANA MECANIZADA'!E113</f>
        <v>0</v>
      </c>
      <c r="H113" s="956"/>
      <c r="I113" s="224"/>
    </row>
    <row r="114" spans="2:11" ht="29.25" customHeight="1" x14ac:dyDescent="0.2">
      <c r="B114" s="757" t="s">
        <v>961</v>
      </c>
      <c r="C114" s="382" t="s">
        <v>786</v>
      </c>
      <c r="D114" s="190" t="s">
        <v>1</v>
      </c>
      <c r="E114" s="957">
        <f>'2. DADOS DE ENTRADA'!C220</f>
        <v>0.65180000000000005</v>
      </c>
      <c r="F114" s="958">
        <f t="shared" si="4"/>
        <v>6650.619999999999</v>
      </c>
      <c r="G114" s="959">
        <f>(F114/'2. DADOS DE ENTRADA'!D221)*'5.1 COLETA URBANA MECANIZADA'!E114</f>
        <v>36.123950966666662</v>
      </c>
      <c r="H114" s="956"/>
      <c r="I114" s="224"/>
    </row>
    <row r="115" spans="2:11" ht="42.75" x14ac:dyDescent="0.2">
      <c r="B115" s="757" t="s">
        <v>962</v>
      </c>
      <c r="C115" s="382" t="s">
        <v>632</v>
      </c>
      <c r="D115" s="190" t="s">
        <v>1</v>
      </c>
      <c r="E115" s="957">
        <f>'2. DADOS DE ENTRADA'!C222</f>
        <v>0.65180000000000005</v>
      </c>
      <c r="F115" s="958">
        <f t="shared" si="4"/>
        <v>6650.619999999999</v>
      </c>
      <c r="G115" s="959">
        <f>(F115/'2. DADOS DE ENTRADA'!D222)*'5.1 COLETA URBANA MECANIZADA'!E115</f>
        <v>36.123950966666662</v>
      </c>
      <c r="H115" s="871"/>
      <c r="I115" s="224"/>
      <c r="K115" s="381"/>
    </row>
    <row r="116" spans="2:11" x14ac:dyDescent="0.2">
      <c r="B116" s="335" t="s">
        <v>963</v>
      </c>
      <c r="C116" s="385" t="s">
        <v>835</v>
      </c>
      <c r="D116" s="190" t="s">
        <v>1</v>
      </c>
      <c r="E116" s="957">
        <f>'2. DADOS DE ENTRADA'!C238</f>
        <v>0.65180000000000005</v>
      </c>
      <c r="F116" s="958">
        <f t="shared" si="4"/>
        <v>198027.5</v>
      </c>
      <c r="G116" s="959">
        <f>(F116/'2. DADOS DE ENTRADA'!D238)*'5.1 COLETA URBANA MECANIZADA'!E116</f>
        <v>1075.6193708333335</v>
      </c>
      <c r="H116" s="871"/>
      <c r="I116" s="224"/>
      <c r="K116" s="381"/>
    </row>
    <row r="117" spans="2:11" x14ac:dyDescent="0.2">
      <c r="B117" s="292"/>
      <c r="C117" s="293"/>
      <c r="D117" s="293"/>
      <c r="E117" s="909"/>
      <c r="F117" s="874" t="s">
        <v>36</v>
      </c>
      <c r="G117" s="875">
        <f>SUM(G108:G116)</f>
        <v>1147.8672727666669</v>
      </c>
      <c r="H117" s="910"/>
      <c r="I117" s="224"/>
      <c r="K117" s="381"/>
    </row>
    <row r="118" spans="2:11" s="192" customFormat="1" ht="15" x14ac:dyDescent="0.25">
      <c r="B118" s="386"/>
      <c r="C118" s="387"/>
      <c r="D118" s="387"/>
      <c r="E118" s="961"/>
      <c r="F118" s="877"/>
      <c r="G118" s="861"/>
      <c r="H118" s="962"/>
      <c r="I118" s="413"/>
      <c r="K118" s="370"/>
    </row>
    <row r="119" spans="2:11" x14ac:dyDescent="0.2">
      <c r="B119" s="288" t="s">
        <v>94</v>
      </c>
      <c r="C119" s="289" t="s">
        <v>51</v>
      </c>
      <c r="D119" s="290"/>
      <c r="E119" s="899"/>
      <c r="F119" s="899"/>
      <c r="G119" s="899"/>
      <c r="H119" s="900"/>
      <c r="I119" s="224"/>
      <c r="K119" s="381"/>
    </row>
    <row r="120" spans="2:11" s="192" customFormat="1" x14ac:dyDescent="0.2">
      <c r="B120" s="389" t="s">
        <v>808</v>
      </c>
      <c r="C120" s="363" t="s">
        <v>633</v>
      </c>
      <c r="D120" s="364" t="s">
        <v>1</v>
      </c>
      <c r="E120" s="963">
        <f>'2. DADOS DE ENTRADA'!C228</f>
        <v>0.65180000000000005</v>
      </c>
      <c r="F120" s="926">
        <f>(E100*F100)-(E100*4*F163)</f>
        <v>0</v>
      </c>
      <c r="G120" s="926">
        <f>(F120/'2. DADOS DE ENTRADA'!D228)*E120</f>
        <v>0</v>
      </c>
      <c r="H120" s="913"/>
      <c r="I120" s="413"/>
    </row>
    <row r="121" spans="2:11" x14ac:dyDescent="0.2">
      <c r="B121" s="292"/>
      <c r="C121" s="293"/>
      <c r="D121" s="293"/>
      <c r="E121" s="909"/>
      <c r="F121" s="874" t="s">
        <v>36</v>
      </c>
      <c r="G121" s="875">
        <f>SUM(G120:G120)</f>
        <v>0</v>
      </c>
      <c r="H121" s="910"/>
      <c r="I121" s="224"/>
    </row>
    <row r="122" spans="2:11" x14ac:dyDescent="0.2">
      <c r="B122" s="335"/>
      <c r="D122" s="190"/>
      <c r="E122" s="857"/>
      <c r="F122" s="881"/>
      <c r="G122" s="964"/>
      <c r="H122" s="965"/>
    </row>
    <row r="123" spans="2:11" x14ac:dyDescent="0.2">
      <c r="B123" s="288" t="s">
        <v>698</v>
      </c>
      <c r="C123" s="289" t="s">
        <v>119</v>
      </c>
      <c r="D123" s="290"/>
      <c r="E123" s="899"/>
      <c r="F123" s="899"/>
      <c r="G123" s="899"/>
      <c r="H123" s="900"/>
    </row>
    <row r="124" spans="2:11" x14ac:dyDescent="0.2">
      <c r="B124" s="428" t="s">
        <v>699</v>
      </c>
      <c r="C124" s="363" t="s">
        <v>119</v>
      </c>
      <c r="D124" s="364" t="s">
        <v>1</v>
      </c>
      <c r="E124" s="963">
        <v>1.06</v>
      </c>
      <c r="F124" s="926">
        <f>SUM(F108:F116,F120:F120)</f>
        <v>211328.74</v>
      </c>
      <c r="G124" s="926">
        <f>F124*E124/100</f>
        <v>2240.084644</v>
      </c>
      <c r="H124" s="913"/>
    </row>
    <row r="125" spans="2:11" x14ac:dyDescent="0.2">
      <c r="B125" s="292"/>
      <c r="C125" s="293"/>
      <c r="D125" s="293"/>
      <c r="E125" s="909"/>
      <c r="F125" s="874" t="s">
        <v>36</v>
      </c>
      <c r="G125" s="875">
        <f>SUM(G124:G124)</f>
        <v>2240.084644</v>
      </c>
      <c r="H125" s="910"/>
    </row>
    <row r="126" spans="2:11" x14ac:dyDescent="0.2">
      <c r="B126" s="335"/>
      <c r="D126" s="190"/>
      <c r="E126" s="902"/>
      <c r="F126" s="927"/>
      <c r="G126" s="927"/>
      <c r="H126" s="956"/>
    </row>
    <row r="127" spans="2:11" x14ac:dyDescent="0.2">
      <c r="B127" s="288" t="s">
        <v>964</v>
      </c>
      <c r="C127" s="289" t="s">
        <v>52</v>
      </c>
      <c r="D127" s="290"/>
      <c r="E127" s="899"/>
      <c r="F127" s="899" t="s">
        <v>102</v>
      </c>
      <c r="G127" s="899" t="s">
        <v>105</v>
      </c>
      <c r="H127" s="900"/>
    </row>
    <row r="128" spans="2:11" x14ac:dyDescent="0.2">
      <c r="B128" s="428" t="s">
        <v>965</v>
      </c>
      <c r="C128" s="363" t="s">
        <v>123</v>
      </c>
      <c r="D128" s="364" t="s">
        <v>4</v>
      </c>
      <c r="E128" s="963">
        <f>E88+E89+E90</f>
        <v>0</v>
      </c>
      <c r="F128" s="926">
        <f>'3. PREÇOS UNITÁRIOS'!D49</f>
        <v>2341.25</v>
      </c>
      <c r="G128" s="926">
        <f>E128*F128</f>
        <v>0</v>
      </c>
      <c r="H128" s="913"/>
    </row>
    <row r="129" spans="2:14" x14ac:dyDescent="0.2">
      <c r="B129" s="335" t="s">
        <v>966</v>
      </c>
      <c r="C129" s="189" t="s">
        <v>85</v>
      </c>
      <c r="D129" s="193" t="s">
        <v>4</v>
      </c>
      <c r="E129" s="972">
        <f>E100</f>
        <v>0</v>
      </c>
      <c r="F129" s="955">
        <f>'3. PREÇOS UNITÁRIOS'!D51</f>
        <v>0</v>
      </c>
      <c r="G129" s="955">
        <f t="shared" ref="G129:G131" si="5">E129*F129</f>
        <v>0</v>
      </c>
      <c r="H129" s="884"/>
    </row>
    <row r="130" spans="2:14" x14ac:dyDescent="0.2">
      <c r="B130" s="335" t="s">
        <v>967</v>
      </c>
      <c r="C130" s="189" t="s">
        <v>783</v>
      </c>
      <c r="D130" s="193" t="s">
        <v>4</v>
      </c>
      <c r="E130" s="972">
        <f>E128</f>
        <v>0</v>
      </c>
      <c r="F130" s="955">
        <f>'3. PREÇOS UNITÁRIOS'!D52</f>
        <v>150</v>
      </c>
      <c r="G130" s="955">
        <f t="shared" si="5"/>
        <v>0</v>
      </c>
      <c r="H130" s="884"/>
    </row>
    <row r="131" spans="2:14" x14ac:dyDescent="0.2">
      <c r="B131" s="353" t="s">
        <v>968</v>
      </c>
      <c r="C131" s="397" t="s">
        <v>569</v>
      </c>
      <c r="D131" s="361" t="s">
        <v>4</v>
      </c>
      <c r="E131" s="973">
        <f>E129</f>
        <v>0</v>
      </c>
      <c r="F131" s="974">
        <f>'3. PREÇOS UNITÁRIOS'!D53</f>
        <v>142.69</v>
      </c>
      <c r="G131" s="974">
        <f t="shared" si="5"/>
        <v>0</v>
      </c>
      <c r="H131" s="975"/>
    </row>
    <row r="132" spans="2:14" x14ac:dyDescent="0.2">
      <c r="B132" s="292"/>
      <c r="C132" s="293"/>
      <c r="D132" s="293"/>
      <c r="E132" s="909"/>
      <c r="F132" s="874" t="s">
        <v>36</v>
      </c>
      <c r="G132" s="875">
        <f>SUM(G128:G131)</f>
        <v>0</v>
      </c>
      <c r="H132" s="910"/>
    </row>
    <row r="133" spans="2:14" x14ac:dyDescent="0.2">
      <c r="B133" s="292"/>
      <c r="C133" s="293"/>
      <c r="D133" s="293"/>
      <c r="E133" s="909"/>
      <c r="F133" s="874" t="s">
        <v>370</v>
      </c>
      <c r="G133" s="875">
        <f>G132/12</f>
        <v>0</v>
      </c>
      <c r="H133" s="910"/>
    </row>
    <row r="134" spans="2:14" x14ac:dyDescent="0.2">
      <c r="B134" s="353"/>
      <c r="C134" s="354"/>
      <c r="D134" s="355"/>
      <c r="E134" s="978"/>
      <c r="F134" s="978"/>
      <c r="G134" s="979"/>
      <c r="H134" s="980"/>
    </row>
    <row r="135" spans="2:14" x14ac:dyDescent="0.2">
      <c r="B135" s="288" t="s">
        <v>969</v>
      </c>
      <c r="C135" s="289" t="s">
        <v>53</v>
      </c>
      <c r="D135" s="290"/>
      <c r="E135" s="899"/>
      <c r="F135" s="899"/>
      <c r="G135" s="899"/>
      <c r="H135" s="900"/>
      <c r="J135" s="429"/>
      <c r="K135" s="193"/>
      <c r="M135" s="381"/>
      <c r="N135" s="430"/>
    </row>
    <row r="136" spans="2:14" x14ac:dyDescent="0.2">
      <c r="B136" s="428" t="s">
        <v>970</v>
      </c>
      <c r="C136" s="363" t="s">
        <v>112</v>
      </c>
      <c r="D136" s="364" t="s">
        <v>311</v>
      </c>
      <c r="E136" s="963">
        <f>'2. DADOS DE ENTRADA'!D264/'2. DADOS DE ENTRADA'!D253</f>
        <v>0</v>
      </c>
      <c r="F136" s="926">
        <f>'3. PREÇOS UNITÁRIOS'!D31</f>
        <v>6.29</v>
      </c>
      <c r="G136" s="926">
        <f>E136*F136</f>
        <v>0</v>
      </c>
      <c r="H136" s="913"/>
      <c r="J136" s="431"/>
      <c r="K136" s="343"/>
      <c r="M136" s="381"/>
      <c r="N136" s="430"/>
    </row>
    <row r="137" spans="2:14" x14ac:dyDescent="0.2">
      <c r="B137" s="335" t="s">
        <v>971</v>
      </c>
      <c r="C137" s="189" t="s">
        <v>57</v>
      </c>
      <c r="D137" s="193" t="s">
        <v>311</v>
      </c>
      <c r="E137" s="972">
        <f>'2. DADOS DE ENTRADA'!D266/'2. DADOS DE ENTRADA'!D255</f>
        <v>0</v>
      </c>
      <c r="F137" s="955">
        <f>'3. PREÇOS UNITÁRIOS'!D32</f>
        <v>0</v>
      </c>
      <c r="G137" s="955">
        <f>E137*F137</f>
        <v>0</v>
      </c>
      <c r="H137" s="884"/>
      <c r="J137" s="431"/>
      <c r="K137" s="193"/>
      <c r="M137" s="381"/>
      <c r="N137" s="430"/>
    </row>
    <row r="138" spans="2:14" x14ac:dyDescent="0.2">
      <c r="B138" s="292"/>
      <c r="C138" s="293"/>
      <c r="D138" s="293"/>
      <c r="E138" s="909"/>
      <c r="F138" s="874" t="s">
        <v>36</v>
      </c>
      <c r="G138" s="875">
        <f>SUM(G136:G137)</f>
        <v>0</v>
      </c>
      <c r="H138" s="910"/>
    </row>
    <row r="139" spans="2:14" s="192" customFormat="1" ht="15" x14ac:dyDescent="0.25">
      <c r="B139" s="401"/>
      <c r="C139" s="201"/>
      <c r="D139" s="201"/>
      <c r="E139" s="984"/>
      <c r="F139" s="861"/>
      <c r="G139" s="861"/>
      <c r="H139" s="985"/>
      <c r="I139" s="189"/>
      <c r="J139" s="430"/>
      <c r="K139" s="189"/>
      <c r="L139" s="189"/>
      <c r="M139" s="189"/>
      <c r="N139" s="189"/>
    </row>
    <row r="140" spans="2:14" x14ac:dyDescent="0.2">
      <c r="B140" s="288" t="s">
        <v>972</v>
      </c>
      <c r="C140" s="289" t="s">
        <v>655</v>
      </c>
      <c r="D140" s="290"/>
      <c r="E140" s="899"/>
      <c r="F140" s="899"/>
      <c r="G140" s="899"/>
      <c r="H140" s="900"/>
    </row>
    <row r="141" spans="2:14" x14ac:dyDescent="0.2">
      <c r="B141" s="428" t="s">
        <v>973</v>
      </c>
      <c r="C141" s="363" t="s">
        <v>58</v>
      </c>
      <c r="D141" s="364" t="s">
        <v>1</v>
      </c>
      <c r="E141" s="963">
        <v>1.2</v>
      </c>
      <c r="F141" s="926">
        <f>SUM(F108:F116)</f>
        <v>211328.74</v>
      </c>
      <c r="G141" s="926">
        <f>(E141/100)*F141</f>
        <v>2535.94488</v>
      </c>
      <c r="H141" s="913"/>
      <c r="M141" s="224"/>
    </row>
    <row r="142" spans="2:14" x14ac:dyDescent="0.2">
      <c r="B142" s="335" t="s">
        <v>974</v>
      </c>
      <c r="C142" s="189" t="s">
        <v>14</v>
      </c>
      <c r="D142" s="193" t="s">
        <v>1</v>
      </c>
      <c r="E142" s="972">
        <v>1.2</v>
      </c>
      <c r="F142" s="955">
        <f>SUM(F120:F120)</f>
        <v>0</v>
      </c>
      <c r="G142" s="955">
        <f>(E142/100)*F142</f>
        <v>0</v>
      </c>
      <c r="H142" s="884"/>
    </row>
    <row r="143" spans="2:14" x14ac:dyDescent="0.2">
      <c r="B143" s="335" t="s">
        <v>975</v>
      </c>
      <c r="C143" s="189" t="s">
        <v>660</v>
      </c>
      <c r="D143" s="193" t="s">
        <v>4</v>
      </c>
      <c r="E143" s="972">
        <v>0</v>
      </c>
      <c r="F143" s="955">
        <f>'3. PREÇOS UNITÁRIOS'!D64</f>
        <v>330</v>
      </c>
      <c r="G143" s="955">
        <f>F143*E143</f>
        <v>0</v>
      </c>
      <c r="H143" s="884"/>
    </row>
    <row r="144" spans="2:14" x14ac:dyDescent="0.2">
      <c r="B144" s="335" t="s">
        <v>976</v>
      </c>
      <c r="C144" s="189" t="s">
        <v>664</v>
      </c>
      <c r="D144" s="193" t="s">
        <v>4</v>
      </c>
      <c r="E144" s="972">
        <v>0</v>
      </c>
      <c r="F144" s="955">
        <f>'3. PREÇOS UNITÁRIOS'!D66</f>
        <v>70</v>
      </c>
      <c r="G144" s="955">
        <f>F144*E144</f>
        <v>0</v>
      </c>
      <c r="H144" s="884"/>
    </row>
    <row r="145" spans="2:9" x14ac:dyDescent="0.2">
      <c r="B145" s="335" t="s">
        <v>977</v>
      </c>
      <c r="C145" s="189" t="s">
        <v>661</v>
      </c>
      <c r="D145" s="193" t="s">
        <v>4</v>
      </c>
      <c r="E145" s="972">
        <f>'2. DADOS DE ENTRADA'!F246</f>
        <v>53</v>
      </c>
      <c r="F145" s="955">
        <f>'3. PREÇOS UNITÁRIOS'!D65</f>
        <v>33</v>
      </c>
      <c r="G145" s="955">
        <f>F145*E145</f>
        <v>1749</v>
      </c>
      <c r="H145" s="884"/>
    </row>
    <row r="146" spans="2:9" x14ac:dyDescent="0.2">
      <c r="B146" s="292"/>
      <c r="C146" s="293"/>
      <c r="D146" s="293"/>
      <c r="E146" s="909"/>
      <c r="F146" s="874" t="s">
        <v>36</v>
      </c>
      <c r="G146" s="875">
        <f>SUM(G141:G145)</f>
        <v>4284.94488</v>
      </c>
      <c r="H146" s="910"/>
    </row>
    <row r="147" spans="2:9" x14ac:dyDescent="0.2">
      <c r="B147" s="335"/>
      <c r="D147" s="190"/>
      <c r="E147" s="857"/>
      <c r="F147" s="964"/>
      <c r="G147" s="901"/>
      <c r="H147" s="956"/>
      <c r="I147" s="381"/>
    </row>
    <row r="148" spans="2:9" x14ac:dyDescent="0.2">
      <c r="B148" s="288" t="s">
        <v>978</v>
      </c>
      <c r="C148" s="289" t="s">
        <v>59</v>
      </c>
      <c r="D148" s="290"/>
      <c r="E148" s="899"/>
      <c r="F148" s="899"/>
      <c r="G148" s="899"/>
      <c r="H148" s="900"/>
      <c r="I148" s="381"/>
    </row>
    <row r="149" spans="2:9" x14ac:dyDescent="0.2">
      <c r="B149" s="424" t="s">
        <v>979</v>
      </c>
      <c r="C149" s="289" t="s">
        <v>118</v>
      </c>
      <c r="D149" s="290"/>
      <c r="E149" s="899"/>
      <c r="F149" s="899"/>
      <c r="G149" s="899"/>
      <c r="H149" s="900"/>
    </row>
    <row r="150" spans="2:9" x14ac:dyDescent="0.2">
      <c r="B150" s="335" t="s">
        <v>980</v>
      </c>
      <c r="C150" s="393" t="s">
        <v>60</v>
      </c>
      <c r="D150" s="394" t="s">
        <v>3</v>
      </c>
      <c r="E150" s="991">
        <f>'2. DADOS DE ENTRADA'!E253</f>
        <v>60000</v>
      </c>
      <c r="F150" s="992"/>
      <c r="G150" s="992"/>
      <c r="H150" s="971"/>
    </row>
    <row r="151" spans="2:9" x14ac:dyDescent="0.2">
      <c r="B151" s="335" t="s">
        <v>981</v>
      </c>
      <c r="C151" s="189" t="s">
        <v>61</v>
      </c>
      <c r="D151" s="193" t="str">
        <f>D150</f>
        <v>Km</v>
      </c>
      <c r="E151" s="870">
        <f>'2. DADOS DE ENTRADA'!D264</f>
        <v>0</v>
      </c>
      <c r="F151" s="993"/>
      <c r="G151" s="993"/>
      <c r="H151" s="884"/>
    </row>
    <row r="152" spans="2:9" x14ac:dyDescent="0.2">
      <c r="B152" s="335" t="s">
        <v>982</v>
      </c>
      <c r="C152" s="192" t="s">
        <v>86</v>
      </c>
      <c r="D152" s="190" t="s">
        <v>4</v>
      </c>
      <c r="E152" s="924">
        <f>'2. DADOS DE ENTRADA'!F253</f>
        <v>1</v>
      </c>
      <c r="F152" s="901">
        <f>'3. PREÇOS UNITÁRIOS'!D56</f>
        <v>2240</v>
      </c>
      <c r="G152" s="901">
        <f>E152*F152</f>
        <v>2240</v>
      </c>
      <c r="H152" s="884"/>
    </row>
    <row r="153" spans="2:9" x14ac:dyDescent="0.2">
      <c r="B153" s="335" t="s">
        <v>983</v>
      </c>
      <c r="C153" s="192" t="s">
        <v>62</v>
      </c>
      <c r="D153" s="190" t="s">
        <v>4</v>
      </c>
      <c r="E153" s="924">
        <f>'2. DADOS DE ENTRADA'!G253</f>
        <v>1</v>
      </c>
      <c r="F153" s="901">
        <f>'3. PREÇOS UNITÁRIOS'!D57</f>
        <v>240</v>
      </c>
      <c r="G153" s="901">
        <f>E153*F153</f>
        <v>240</v>
      </c>
      <c r="H153" s="884"/>
    </row>
    <row r="154" spans="2:9" x14ac:dyDescent="0.2">
      <c r="B154" s="335" t="s">
        <v>984</v>
      </c>
      <c r="C154" s="192" t="s">
        <v>63</v>
      </c>
      <c r="D154" s="190" t="s">
        <v>4</v>
      </c>
      <c r="E154" s="924">
        <f>'2. DADOS DE ENTRADA'!H253</f>
        <v>1</v>
      </c>
      <c r="F154" s="901">
        <f>'3. PREÇOS UNITÁRIOS'!D58</f>
        <v>120</v>
      </c>
      <c r="G154" s="901">
        <f>E154*F154</f>
        <v>120</v>
      </c>
      <c r="H154" s="884"/>
    </row>
    <row r="155" spans="2:9" x14ac:dyDescent="0.2">
      <c r="B155" s="335" t="s">
        <v>985</v>
      </c>
      <c r="C155" s="192" t="s">
        <v>64</v>
      </c>
      <c r="D155" s="190" t="s">
        <v>4</v>
      </c>
      <c r="E155" s="924">
        <f>'2. DADOS DE ENTRADA'!I253</f>
        <v>2</v>
      </c>
      <c r="F155" s="901">
        <f>'3. PREÇOS UNITÁRIOS'!D59</f>
        <v>625</v>
      </c>
      <c r="G155" s="901">
        <f>E155*F155</f>
        <v>1250</v>
      </c>
      <c r="H155" s="884"/>
    </row>
    <row r="156" spans="2:9" x14ac:dyDescent="0.2">
      <c r="B156" s="335" t="s">
        <v>986</v>
      </c>
      <c r="C156" s="189" t="s">
        <v>65</v>
      </c>
      <c r="D156" s="193" t="s">
        <v>4</v>
      </c>
      <c r="E156" s="972">
        <f>'2. DADOS DE ENTRADA'!J253</f>
        <v>3</v>
      </c>
      <c r="F156" s="994">
        <f>'3. PREÇOS UNITÁRIOS'!D60</f>
        <v>250</v>
      </c>
      <c r="G156" s="994">
        <f>E156*F156</f>
        <v>750</v>
      </c>
      <c r="H156" s="884"/>
    </row>
    <row r="157" spans="2:9" x14ac:dyDescent="0.2">
      <c r="B157" s="292"/>
      <c r="C157" s="293"/>
      <c r="D157" s="293"/>
      <c r="E157" s="909"/>
      <c r="F157" s="874" t="s">
        <v>36</v>
      </c>
      <c r="G157" s="875">
        <f>SUM(G152:G156)</f>
        <v>4600</v>
      </c>
      <c r="H157" s="910"/>
    </row>
    <row r="158" spans="2:9" x14ac:dyDescent="0.2">
      <c r="B158" s="292"/>
      <c r="C158" s="293"/>
      <c r="D158" s="293"/>
      <c r="E158" s="909"/>
      <c r="F158" s="874" t="s">
        <v>370</v>
      </c>
      <c r="G158" s="875">
        <f>(G157/E150)*E151</f>
        <v>0</v>
      </c>
      <c r="H158" s="910"/>
    </row>
    <row r="159" spans="2:9" x14ac:dyDescent="0.2">
      <c r="B159" s="335"/>
      <c r="D159" s="190"/>
      <c r="E159" s="924"/>
      <c r="F159" s="881"/>
      <c r="G159" s="881"/>
      <c r="H159" s="871"/>
    </row>
    <row r="160" spans="2:9" x14ac:dyDescent="0.2">
      <c r="B160" s="288" t="s">
        <v>989</v>
      </c>
      <c r="C160" s="289" t="s">
        <v>67</v>
      </c>
      <c r="D160" s="290"/>
      <c r="E160" s="899"/>
      <c r="F160" s="899"/>
      <c r="G160" s="899"/>
      <c r="H160" s="900"/>
    </row>
    <row r="161" spans="2:14" x14ac:dyDescent="0.2">
      <c r="B161" s="345" t="s">
        <v>990</v>
      </c>
      <c r="C161" s="192" t="s">
        <v>60</v>
      </c>
      <c r="D161" s="190" t="s">
        <v>3</v>
      </c>
      <c r="E161" s="995">
        <f>'2. DADOS DE ENTRADA'!E255</f>
        <v>60000</v>
      </c>
      <c r="F161" s="881"/>
      <c r="G161" s="881"/>
      <c r="H161" s="871"/>
    </row>
    <row r="162" spans="2:14" x14ac:dyDescent="0.2">
      <c r="B162" s="345" t="s">
        <v>991</v>
      </c>
      <c r="C162" s="192" t="s">
        <v>68</v>
      </c>
      <c r="D162" s="190" t="str">
        <f>D161</f>
        <v>Km</v>
      </c>
      <c r="E162" s="995">
        <f>'2. DADOS DE ENTRADA'!D266</f>
        <v>0</v>
      </c>
      <c r="F162" s="881"/>
      <c r="G162" s="881"/>
      <c r="H162" s="871"/>
    </row>
    <row r="163" spans="2:14" x14ac:dyDescent="0.2">
      <c r="B163" s="345" t="s">
        <v>992</v>
      </c>
      <c r="C163" s="192" t="s">
        <v>120</v>
      </c>
      <c r="D163" s="190" t="s">
        <v>4</v>
      </c>
      <c r="E163" s="924">
        <f>'2. DADOS DE ENTRADA'!F255</f>
        <v>0</v>
      </c>
      <c r="F163" s="964">
        <f>'3. PREÇOS UNITÁRIOS'!D62</f>
        <v>0</v>
      </c>
      <c r="G163" s="964">
        <f>E163*F163</f>
        <v>0</v>
      </c>
      <c r="H163" s="871"/>
    </row>
    <row r="164" spans="2:14" x14ac:dyDescent="0.2">
      <c r="B164" s="292"/>
      <c r="C164" s="293"/>
      <c r="D164" s="293"/>
      <c r="E164" s="909"/>
      <c r="F164" s="874" t="s">
        <v>36</v>
      </c>
      <c r="G164" s="875">
        <f>SUM(G163)</f>
        <v>0</v>
      </c>
      <c r="H164" s="910"/>
    </row>
    <row r="165" spans="2:14" x14ac:dyDescent="0.2">
      <c r="B165" s="292"/>
      <c r="C165" s="293"/>
      <c r="D165" s="293"/>
      <c r="E165" s="909"/>
      <c r="F165" s="874" t="s">
        <v>370</v>
      </c>
      <c r="G165" s="875">
        <f>(G164/E161)*E162</f>
        <v>0</v>
      </c>
      <c r="H165" s="910"/>
    </row>
    <row r="166" spans="2:14" x14ac:dyDescent="0.2">
      <c r="B166" s="335"/>
      <c r="C166" s="189"/>
      <c r="D166" s="189"/>
      <c r="E166" s="993"/>
      <c r="F166" s="993"/>
      <c r="G166" s="993"/>
      <c r="H166" s="884"/>
    </row>
    <row r="167" spans="2:14" x14ac:dyDescent="0.2">
      <c r="B167" s="288" t="s">
        <v>987</v>
      </c>
      <c r="C167" s="289" t="s">
        <v>621</v>
      </c>
      <c r="D167" s="290"/>
      <c r="E167" s="899"/>
      <c r="F167" s="899"/>
      <c r="G167" s="899"/>
      <c r="H167" s="900"/>
    </row>
    <row r="168" spans="2:14" x14ac:dyDescent="0.2">
      <c r="B168" s="362" t="s">
        <v>988</v>
      </c>
      <c r="C168" s="363" t="s">
        <v>621</v>
      </c>
      <c r="D168" s="364" t="s">
        <v>1</v>
      </c>
      <c r="E168" s="997">
        <v>0.1</v>
      </c>
      <c r="F168" s="926">
        <f>G138</f>
        <v>0</v>
      </c>
      <c r="G168" s="926">
        <f>E168*F168</f>
        <v>0</v>
      </c>
      <c r="H168" s="998"/>
    </row>
    <row r="169" spans="2:14" x14ac:dyDescent="0.2">
      <c r="B169" s="292"/>
      <c r="C169" s="293"/>
      <c r="D169" s="293"/>
      <c r="E169" s="909"/>
      <c r="F169" s="874" t="s">
        <v>36</v>
      </c>
      <c r="G169" s="875">
        <f>SUM(G168)</f>
        <v>0</v>
      </c>
      <c r="H169" s="910"/>
    </row>
    <row r="170" spans="2:14" s="192" customFormat="1" x14ac:dyDescent="0.2">
      <c r="B170" s="292"/>
      <c r="C170" s="293"/>
      <c r="D170" s="293"/>
      <c r="E170" s="909"/>
      <c r="F170" s="874" t="s">
        <v>370</v>
      </c>
      <c r="G170" s="875">
        <f>G169</f>
        <v>0</v>
      </c>
      <c r="H170" s="910"/>
      <c r="I170" s="189"/>
      <c r="J170" s="189"/>
      <c r="K170" s="189"/>
      <c r="L170" s="189"/>
      <c r="M170" s="189"/>
      <c r="N170" s="189"/>
    </row>
    <row r="171" spans="2:14" s="192" customFormat="1" ht="15" x14ac:dyDescent="0.2">
      <c r="B171" s="416"/>
      <c r="C171" s="417"/>
      <c r="D171" s="417"/>
      <c r="E171" s="1037" t="s">
        <v>725</v>
      </c>
      <c r="F171" s="1037"/>
      <c r="G171" s="1037">
        <f>G170+G165+G158+G146+G138+G133+G124+G121+G117</f>
        <v>7672.8967967666667</v>
      </c>
      <c r="H171" s="1038"/>
      <c r="I171" s="189"/>
      <c r="J171" s="189"/>
      <c r="K171" s="189"/>
      <c r="L171" s="189"/>
      <c r="M171" s="189"/>
      <c r="N171" s="189"/>
    </row>
    <row r="172" spans="2:14" s="192" customFormat="1" ht="15" x14ac:dyDescent="0.2">
      <c r="B172" s="302"/>
      <c r="C172" s="303"/>
      <c r="D172" s="303"/>
      <c r="E172" s="933"/>
      <c r="F172" s="933"/>
      <c r="G172" s="933"/>
      <c r="H172" s="934"/>
    </row>
    <row r="173" spans="2:14" x14ac:dyDescent="0.2">
      <c r="B173" s="281" t="s">
        <v>48</v>
      </c>
      <c r="C173" s="282" t="s">
        <v>678</v>
      </c>
      <c r="D173" s="283"/>
      <c r="E173" s="893"/>
      <c r="F173" s="893"/>
      <c r="G173" s="893"/>
      <c r="H173" s="894"/>
    </row>
    <row r="174" spans="2:14" ht="15" x14ac:dyDescent="0.2">
      <c r="B174" s="284"/>
      <c r="C174" s="285"/>
      <c r="D174" s="286"/>
      <c r="E174" s="895"/>
      <c r="F174" s="895"/>
      <c r="G174" s="895"/>
      <c r="H174" s="896"/>
    </row>
    <row r="175" spans="2:14" x14ac:dyDescent="0.2">
      <c r="B175" s="268" t="s">
        <v>7</v>
      </c>
      <c r="C175" s="305" t="s">
        <v>8</v>
      </c>
      <c r="D175" s="269" t="s">
        <v>9</v>
      </c>
      <c r="E175" s="938" t="s">
        <v>10</v>
      </c>
      <c r="F175" s="938" t="s">
        <v>11</v>
      </c>
      <c r="G175" s="938" t="s">
        <v>12</v>
      </c>
      <c r="H175" s="939"/>
    </row>
    <row r="176" spans="2:14" x14ac:dyDescent="0.2">
      <c r="B176" s="288" t="s">
        <v>96</v>
      </c>
      <c r="C176" s="289" t="s">
        <v>722</v>
      </c>
      <c r="D176" s="290"/>
      <c r="E176" s="899"/>
      <c r="F176" s="899"/>
      <c r="G176" s="899"/>
      <c r="H176" s="900"/>
    </row>
    <row r="177" spans="2:9" x14ac:dyDescent="0.2">
      <c r="B177" s="406" t="s">
        <v>99</v>
      </c>
      <c r="C177" s="192" t="s">
        <v>679</v>
      </c>
      <c r="D177" s="193" t="s">
        <v>4</v>
      </c>
      <c r="E177" s="870">
        <v>0</v>
      </c>
      <c r="F177" s="955">
        <f>'3. PREÇOS UNITÁRIOS'!D69</f>
        <v>10</v>
      </c>
      <c r="G177" s="955">
        <f>E177*F177</f>
        <v>0</v>
      </c>
      <c r="H177" s="884"/>
    </row>
    <row r="178" spans="2:9" x14ac:dyDescent="0.2">
      <c r="B178" s="406" t="s">
        <v>73</v>
      </c>
      <c r="C178" s="192" t="s">
        <v>680</v>
      </c>
      <c r="D178" s="193" t="s">
        <v>4</v>
      </c>
      <c r="E178" s="862">
        <v>0</v>
      </c>
      <c r="F178" s="955">
        <f>('3. PREÇOS UNITÁRIOS'!D70)</f>
        <v>8.3333333333333339</v>
      </c>
      <c r="G178" s="955">
        <f t="shared" ref="G178:G179" si="6">E178*F178</f>
        <v>0</v>
      </c>
      <c r="H178" s="884"/>
      <c r="I178" s="381"/>
    </row>
    <row r="179" spans="2:9" ht="42.75" x14ac:dyDescent="0.2">
      <c r="B179" s="406" t="s">
        <v>78</v>
      </c>
      <c r="C179" s="195" t="s">
        <v>735</v>
      </c>
      <c r="D179" s="203" t="s">
        <v>681</v>
      </c>
      <c r="E179" s="999">
        <v>0</v>
      </c>
      <c r="F179" s="1000">
        <f>'3. PREÇOS UNITÁRIOS'!D71</f>
        <v>69.900000000000006</v>
      </c>
      <c r="G179" s="1000">
        <f t="shared" si="6"/>
        <v>0</v>
      </c>
      <c r="H179" s="1001"/>
    </row>
    <row r="180" spans="2:9" ht="14.25" customHeight="1" x14ac:dyDescent="0.2">
      <c r="B180" s="292"/>
      <c r="C180" s="293"/>
      <c r="D180" s="293"/>
      <c r="E180" s="909"/>
      <c r="F180" s="874" t="s">
        <v>36</v>
      </c>
      <c r="G180" s="875">
        <f>SUM(G177:G179)</f>
        <v>0</v>
      </c>
      <c r="H180" s="910"/>
    </row>
    <row r="181" spans="2:9" ht="15" x14ac:dyDescent="0.2">
      <c r="B181" s="416"/>
      <c r="C181" s="417"/>
      <c r="D181" s="417"/>
      <c r="E181" s="1037" t="s">
        <v>726</v>
      </c>
      <c r="F181" s="1037"/>
      <c r="G181" s="1037">
        <f>G180</f>
        <v>0</v>
      </c>
      <c r="H181" s="1038"/>
    </row>
    <row r="182" spans="2:9" s="192" customFormat="1" ht="15" x14ac:dyDescent="0.2">
      <c r="B182" s="302"/>
      <c r="C182" s="303"/>
      <c r="D182" s="303"/>
      <c r="E182" s="933"/>
      <c r="F182" s="933"/>
      <c r="G182" s="933"/>
      <c r="H182" s="934"/>
    </row>
    <row r="183" spans="2:9" x14ac:dyDescent="0.2">
      <c r="B183" s="281" t="s">
        <v>677</v>
      </c>
      <c r="C183" s="282" t="s">
        <v>534</v>
      </c>
      <c r="D183" s="283"/>
      <c r="E183" s="893"/>
      <c r="F183" s="893"/>
      <c r="G183" s="893"/>
      <c r="H183" s="894"/>
    </row>
    <row r="184" spans="2:9" x14ac:dyDescent="0.2">
      <c r="B184" s="758" t="s">
        <v>100</v>
      </c>
      <c r="C184" s="759" t="s">
        <v>724</v>
      </c>
      <c r="D184" s="760"/>
      <c r="E184" s="1043"/>
      <c r="F184" s="1043"/>
      <c r="G184" s="1044">
        <f>G80</f>
        <v>0</v>
      </c>
      <c r="H184" s="1045"/>
    </row>
    <row r="185" spans="2:9" x14ac:dyDescent="0.2">
      <c r="B185" s="758" t="s">
        <v>806</v>
      </c>
      <c r="C185" s="759" t="s">
        <v>536</v>
      </c>
      <c r="D185" s="760"/>
      <c r="E185" s="1043"/>
      <c r="F185" s="1043"/>
      <c r="G185" s="1044">
        <f>G171</f>
        <v>7672.8967967666667</v>
      </c>
      <c r="H185" s="1045"/>
    </row>
    <row r="186" spans="2:9" x14ac:dyDescent="0.2">
      <c r="B186" s="758" t="s">
        <v>702</v>
      </c>
      <c r="C186" s="759" t="s">
        <v>723</v>
      </c>
      <c r="D186" s="760"/>
      <c r="E186" s="1043"/>
      <c r="F186" s="1043"/>
      <c r="G186" s="1046">
        <f>G180</f>
        <v>0</v>
      </c>
      <c r="H186" s="1047"/>
    </row>
    <row r="187" spans="2:9" ht="15" x14ac:dyDescent="0.2">
      <c r="B187" s="416"/>
      <c r="C187" s="417" t="s">
        <v>535</v>
      </c>
      <c r="D187" s="417"/>
      <c r="E187" s="1037"/>
      <c r="F187" s="1037"/>
      <c r="G187" s="1037">
        <f>SUM(G184:G186)</f>
        <v>7672.8967967666667</v>
      </c>
      <c r="H187" s="1038"/>
    </row>
    <row r="188" spans="2:9" x14ac:dyDescent="0.2">
      <c r="B188" s="335"/>
      <c r="E188" s="881"/>
      <c r="F188" s="881"/>
      <c r="G188" s="881"/>
      <c r="H188" s="871"/>
    </row>
    <row r="189" spans="2:9" x14ac:dyDescent="0.2">
      <c r="B189" s="319" t="s">
        <v>537</v>
      </c>
      <c r="C189" s="320" t="s">
        <v>538</v>
      </c>
      <c r="D189" s="321"/>
      <c r="E189" s="1010"/>
      <c r="F189" s="1010"/>
      <c r="G189" s="1010"/>
      <c r="H189" s="1011"/>
    </row>
    <row r="190" spans="2:9" s="192" customFormat="1" ht="15" x14ac:dyDescent="0.2">
      <c r="B190" s="322"/>
      <c r="C190" s="323"/>
      <c r="D190" s="154"/>
      <c r="E190" s="1012"/>
      <c r="F190" s="1012"/>
      <c r="G190" s="1012"/>
      <c r="H190" s="1013"/>
    </row>
    <row r="191" spans="2:9" x14ac:dyDescent="0.2">
      <c r="B191" s="268" t="s">
        <v>7</v>
      </c>
      <c r="C191" s="305" t="s">
        <v>8</v>
      </c>
      <c r="D191" s="269"/>
      <c r="E191" s="938"/>
      <c r="F191" s="938" t="s">
        <v>12</v>
      </c>
      <c r="G191" s="938"/>
      <c r="H191" s="939"/>
    </row>
    <row r="192" spans="2:9" x14ac:dyDescent="0.2">
      <c r="B192" s="753" t="s">
        <v>103</v>
      </c>
      <c r="C192" s="754" t="s">
        <v>539</v>
      </c>
      <c r="D192" s="755"/>
      <c r="E192" s="1014"/>
      <c r="F192" s="1015">
        <v>0</v>
      </c>
      <c r="G192" s="1014"/>
      <c r="H192" s="1016"/>
    </row>
    <row r="193" spans="2:8" x14ac:dyDescent="0.2">
      <c r="B193" s="294"/>
      <c r="C193" s="295" t="s">
        <v>540</v>
      </c>
      <c r="D193" s="295"/>
      <c r="E193" s="914"/>
      <c r="F193" s="915">
        <f>SUM(F192:F192)</f>
        <v>0</v>
      </c>
      <c r="G193" s="915"/>
      <c r="H193" s="932"/>
    </row>
    <row r="194" spans="2:8" x14ac:dyDescent="0.2">
      <c r="B194" s="317"/>
      <c r="C194" s="318" t="s">
        <v>567</v>
      </c>
      <c r="D194" s="318"/>
      <c r="E194" s="1008"/>
      <c r="F194" s="1017">
        <f>F193+G187</f>
        <v>7672.8967967666667</v>
      </c>
      <c r="G194" s="1017"/>
      <c r="H194" s="1009"/>
    </row>
    <row r="195" spans="2:8" x14ac:dyDescent="0.2">
      <c r="B195" s="335"/>
      <c r="C195" s="189"/>
      <c r="D195" s="193"/>
      <c r="E195" s="993"/>
      <c r="F195" s="993"/>
      <c r="G195" s="881"/>
      <c r="H195" s="871"/>
    </row>
    <row r="196" spans="2:8" x14ac:dyDescent="0.2">
      <c r="B196" s="319" t="s">
        <v>541</v>
      </c>
      <c r="C196" s="320" t="s">
        <v>542</v>
      </c>
      <c r="D196" s="321"/>
      <c r="E196" s="1010"/>
      <c r="F196" s="1010"/>
      <c r="G196" s="1018"/>
      <c r="H196" s="1019"/>
    </row>
    <row r="197" spans="2:8" x14ac:dyDescent="0.2">
      <c r="B197" s="327" t="s">
        <v>7</v>
      </c>
      <c r="C197" s="328" t="s">
        <v>8</v>
      </c>
      <c r="D197" s="329" t="s">
        <v>9</v>
      </c>
      <c r="E197" s="1020" t="s">
        <v>69</v>
      </c>
      <c r="F197" s="1021" t="s">
        <v>12</v>
      </c>
      <c r="G197" s="881"/>
      <c r="H197" s="871"/>
    </row>
    <row r="198" spans="2:8" x14ac:dyDescent="0.2">
      <c r="B198" s="408" t="s">
        <v>104</v>
      </c>
      <c r="C198" s="409" t="s">
        <v>543</v>
      </c>
      <c r="D198" s="193" t="s">
        <v>1</v>
      </c>
      <c r="E198" s="1022">
        <v>4.93</v>
      </c>
      <c r="F198" s="1023"/>
      <c r="G198" s="881"/>
      <c r="H198" s="871"/>
    </row>
    <row r="199" spans="2:8" x14ac:dyDescent="0.2">
      <c r="B199" s="408" t="s">
        <v>544</v>
      </c>
      <c r="C199" s="411" t="s">
        <v>545</v>
      </c>
      <c r="D199" s="193" t="s">
        <v>1</v>
      </c>
      <c r="E199" s="1024">
        <v>0.99</v>
      </c>
      <c r="F199" s="1023"/>
      <c r="G199" s="881"/>
      <c r="H199" s="871"/>
    </row>
    <row r="200" spans="2:8" x14ac:dyDescent="0.2">
      <c r="B200" s="408" t="s">
        <v>546</v>
      </c>
      <c r="C200" s="411" t="s">
        <v>547</v>
      </c>
      <c r="D200" s="193" t="s">
        <v>1</v>
      </c>
      <c r="E200" s="1024">
        <f>SUM(E201:E202)</f>
        <v>1.88</v>
      </c>
      <c r="F200" s="1023"/>
      <c r="G200" s="881"/>
      <c r="H200" s="871"/>
    </row>
    <row r="201" spans="2:8" x14ac:dyDescent="0.2">
      <c r="B201" s="408" t="s">
        <v>548</v>
      </c>
      <c r="C201" s="411" t="s">
        <v>568</v>
      </c>
      <c r="D201" s="193" t="s">
        <v>1</v>
      </c>
      <c r="E201" s="1024">
        <v>0.49</v>
      </c>
      <c r="F201" s="1023"/>
      <c r="G201" s="881"/>
      <c r="H201" s="871"/>
    </row>
    <row r="202" spans="2:8" x14ac:dyDescent="0.2">
      <c r="B202" s="408" t="s">
        <v>549</v>
      </c>
      <c r="C202" s="411" t="s">
        <v>551</v>
      </c>
      <c r="D202" s="193" t="s">
        <v>1</v>
      </c>
      <c r="E202" s="1024">
        <v>1.39</v>
      </c>
      <c r="F202" s="1023"/>
      <c r="G202" s="881"/>
      <c r="H202" s="871"/>
    </row>
    <row r="203" spans="2:8" x14ac:dyDescent="0.2">
      <c r="B203" s="408" t="s">
        <v>550</v>
      </c>
      <c r="C203" s="411" t="s">
        <v>553</v>
      </c>
      <c r="D203" s="193" t="s">
        <v>1</v>
      </c>
      <c r="E203" s="1024">
        <f>SUM(E204:E206)</f>
        <v>6.65</v>
      </c>
      <c r="F203" s="1023"/>
      <c r="G203" s="881"/>
      <c r="H203" s="871"/>
    </row>
    <row r="204" spans="2:8" x14ac:dyDescent="0.2">
      <c r="B204" s="408" t="s">
        <v>552</v>
      </c>
      <c r="C204" s="411" t="s">
        <v>555</v>
      </c>
      <c r="D204" s="193" t="s">
        <v>1</v>
      </c>
      <c r="E204" s="1024">
        <v>3</v>
      </c>
      <c r="F204" s="1023"/>
      <c r="G204" s="881"/>
      <c r="H204" s="871"/>
    </row>
    <row r="205" spans="2:8" x14ac:dyDescent="0.2">
      <c r="B205" s="408" t="s">
        <v>554</v>
      </c>
      <c r="C205" s="411" t="s">
        <v>557</v>
      </c>
      <c r="D205" s="193" t="s">
        <v>1</v>
      </c>
      <c r="E205" s="1024">
        <v>0.65</v>
      </c>
      <c r="F205" s="1023"/>
      <c r="G205" s="1025"/>
      <c r="H205" s="871"/>
    </row>
    <row r="206" spans="2:8" x14ac:dyDescent="0.2">
      <c r="B206" s="408" t="s">
        <v>556</v>
      </c>
      <c r="C206" s="411" t="s">
        <v>559</v>
      </c>
      <c r="D206" s="193" t="s">
        <v>1</v>
      </c>
      <c r="E206" s="1024">
        <v>3</v>
      </c>
      <c r="F206" s="1023"/>
      <c r="G206" s="1026"/>
      <c r="H206" s="871"/>
    </row>
    <row r="207" spans="2:8" x14ac:dyDescent="0.2">
      <c r="B207" s="408" t="s">
        <v>558</v>
      </c>
      <c r="C207" s="411" t="s">
        <v>561</v>
      </c>
      <c r="D207" s="193" t="s">
        <v>1</v>
      </c>
      <c r="E207" s="1024">
        <v>8.0399999999999991</v>
      </c>
      <c r="F207" s="1023"/>
      <c r="G207" s="881"/>
      <c r="H207" s="871"/>
    </row>
    <row r="208" spans="2:8" x14ac:dyDescent="0.2">
      <c r="B208" s="408" t="s">
        <v>560</v>
      </c>
      <c r="C208" s="411" t="s">
        <v>562</v>
      </c>
      <c r="D208" s="193" t="s">
        <v>1</v>
      </c>
      <c r="E208" s="1024">
        <f>(((1+(E198+E200)/100)*(1+E199/100)*(1+E207/100)/(1-E203/100))-1)*100</f>
        <v>24.841949102945904</v>
      </c>
      <c r="F208" s="1023"/>
      <c r="G208" s="881"/>
      <c r="H208" s="871"/>
    </row>
    <row r="209" spans="2:8" ht="15" thickBot="1" x14ac:dyDescent="0.25">
      <c r="B209" s="330"/>
      <c r="C209" s="331" t="s">
        <v>563</v>
      </c>
      <c r="D209" s="332"/>
      <c r="E209" s="1027"/>
      <c r="F209" s="1028">
        <f>F194*(E208/100)</f>
        <v>1906.097116974342</v>
      </c>
      <c r="G209" s="881"/>
      <c r="H209" s="871"/>
    </row>
    <row r="210" spans="2:8" ht="15" thickBot="1" x14ac:dyDescent="0.25">
      <c r="B210" s="335"/>
      <c r="C210" s="189"/>
      <c r="D210" s="193"/>
      <c r="E210" s="993"/>
      <c r="F210" s="993"/>
      <c r="G210" s="881"/>
      <c r="H210" s="871"/>
    </row>
    <row r="211" spans="2:8" x14ac:dyDescent="0.2">
      <c r="B211" s="335"/>
      <c r="C211" s="782" t="s">
        <v>564</v>
      </c>
      <c r="D211" s="783"/>
      <c r="E211" s="1029"/>
      <c r="F211" s="1030">
        <f>F194+F209</f>
        <v>9578.9939137410092</v>
      </c>
      <c r="G211" s="927"/>
      <c r="H211" s="871"/>
    </row>
    <row r="212" spans="2:8" x14ac:dyDescent="0.2">
      <c r="B212" s="335"/>
      <c r="C212" s="784" t="s">
        <v>565</v>
      </c>
      <c r="D212" s="785"/>
      <c r="E212" s="1031"/>
      <c r="F212" s="1032">
        <v>1</v>
      </c>
      <c r="G212" s="927"/>
      <c r="H212" s="871"/>
    </row>
    <row r="213" spans="2:8" ht="15.75" thickBot="1" x14ac:dyDescent="0.3">
      <c r="C213" s="786" t="s">
        <v>566</v>
      </c>
      <c r="D213" s="787"/>
      <c r="E213" s="1033"/>
      <c r="F213" s="1034">
        <f>ROUND(F211/F212,2)</f>
        <v>9578.99</v>
      </c>
      <c r="G213" s="1026"/>
      <c r="H213" s="1026"/>
    </row>
    <row r="215" spans="2:8" hidden="1" x14ac:dyDescent="0.2">
      <c r="C215" s="414"/>
      <c r="D215" s="414"/>
      <c r="E215" s="414"/>
      <c r="F215" s="414"/>
    </row>
    <row r="216" spans="2:8" hidden="1" x14ac:dyDescent="0.2">
      <c r="C216" s="414"/>
      <c r="D216" s="414"/>
      <c r="E216" s="414"/>
      <c r="F216" s="414"/>
    </row>
  </sheetData>
  <sheetProtection algorithmName="SHA-512" hashValue="pOOv0C8ESA8bHtytNl8sQHCb7i8wvoWzGNJcBYcJ5k2ACUbiTMqAgCguVxmY2yGCKmUH1wDcGjfCdpZ19VOllA==" saltValue="AUtEBJPaeLZBisVwLZyKoQ==" spinCount="100000" sheet="1" objects="1" scenarios="1"/>
  <mergeCells count="1">
    <mergeCell ref="B7:H7"/>
  </mergeCells>
  <phoneticPr fontId="12" type="noConversion"/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7:N253"/>
  <sheetViews>
    <sheetView showGridLines="0" view="pageBreakPreview" topLeftCell="B1" zoomScaleNormal="100" zoomScaleSheetLayoutView="100" workbookViewId="0">
      <selection activeCell="E12" sqref="E12:G250"/>
    </sheetView>
  </sheetViews>
  <sheetFormatPr defaultColWidth="11.42578125" defaultRowHeight="14.25" x14ac:dyDescent="0.2"/>
  <cols>
    <col min="1" max="1" width="5.140625" style="192" hidden="1" customWidth="1"/>
    <col min="2" max="2" width="11.42578125" style="189" customWidth="1"/>
    <col min="3" max="3" width="44.7109375" style="192" customWidth="1"/>
    <col min="4" max="4" width="12.42578125" style="192" customWidth="1"/>
    <col min="5" max="5" width="14.42578125" style="192" customWidth="1"/>
    <col min="6" max="6" width="16.28515625" style="192" customWidth="1"/>
    <col min="7" max="7" width="18.28515625" style="192" bestFit="1" customWidth="1"/>
    <col min="8" max="8" width="23.7109375" style="192" customWidth="1"/>
    <col min="9" max="9" width="11.42578125" style="189" customWidth="1"/>
    <col min="10" max="11" width="11.42578125" style="189"/>
    <col min="12" max="12" width="12.140625" style="189" bestFit="1" customWidth="1"/>
    <col min="13" max="16384" width="11.42578125" style="189"/>
  </cols>
  <sheetData>
    <row r="7" spans="1:14" ht="17.45" customHeight="1" thickBot="1" x14ac:dyDescent="0.3">
      <c r="B7" s="818" t="s">
        <v>842</v>
      </c>
      <c r="C7" s="819"/>
      <c r="D7" s="819"/>
      <c r="E7" s="819"/>
      <c r="F7" s="819"/>
      <c r="G7" s="819"/>
      <c r="H7" s="468"/>
      <c r="I7" s="469"/>
      <c r="J7" s="192"/>
      <c r="K7" s="192"/>
      <c r="L7" s="192"/>
      <c r="M7" s="192"/>
      <c r="N7" s="192"/>
    </row>
    <row r="8" spans="1:14" x14ac:dyDescent="0.2">
      <c r="B8" s="333"/>
      <c r="I8" s="192"/>
      <c r="J8" s="192"/>
      <c r="K8" s="192"/>
      <c r="L8" s="192"/>
      <c r="M8" s="192"/>
      <c r="N8" s="192"/>
    </row>
    <row r="9" spans="1:14" x14ac:dyDescent="0.2">
      <c r="B9" s="264" t="s">
        <v>2</v>
      </c>
      <c r="C9" s="265" t="s">
        <v>18</v>
      </c>
      <c r="D9" s="266"/>
      <c r="E9" s="266"/>
      <c r="F9" s="266"/>
      <c r="G9" s="266"/>
    </row>
    <row r="10" spans="1:14" x14ac:dyDescent="0.2">
      <c r="B10" s="268" t="s">
        <v>7</v>
      </c>
      <c r="C10" s="269" t="s">
        <v>8</v>
      </c>
      <c r="D10" s="269" t="s">
        <v>9</v>
      </c>
      <c r="E10" s="269" t="s">
        <v>10</v>
      </c>
      <c r="F10" s="269" t="s">
        <v>11</v>
      </c>
      <c r="G10" s="269" t="s">
        <v>12</v>
      </c>
      <c r="H10" s="190"/>
    </row>
    <row r="11" spans="1:14" x14ac:dyDescent="0.2">
      <c r="B11" s="271" t="s">
        <v>88</v>
      </c>
      <c r="C11" s="272" t="s">
        <v>19</v>
      </c>
      <c r="D11" s="273"/>
      <c r="E11" s="273"/>
      <c r="F11" s="273"/>
      <c r="G11" s="273"/>
      <c r="H11" s="357"/>
    </row>
    <row r="12" spans="1:14" x14ac:dyDescent="0.2">
      <c r="A12" s="192" t="s">
        <v>96</v>
      </c>
      <c r="B12" s="335" t="str">
        <f>IF(C12="","",$B$11&amp;"."&amp;COUNT($F$12:F12))</f>
        <v>1.1.1</v>
      </c>
      <c r="C12" s="192" t="s">
        <v>20</v>
      </c>
      <c r="D12" s="190" t="s">
        <v>21</v>
      </c>
      <c r="E12" s="857">
        <f>SUMIFS('2. DADOS DE ENTRADA'!C:C,'2. DADOS DE ENTRADA'!A:A,'6. COLETA SELETIVA'!A12,'2. DADOS DE ENTRADA'!B:B,'6. COLETA SELETIVA'!$C$11)</f>
        <v>173.38</v>
      </c>
      <c r="F12" s="858">
        <f>'3. PREÇOS UNITÁRIOS'!D22/'6. COLETA SELETIVA'!E12</f>
        <v>13.474592225170147</v>
      </c>
      <c r="G12" s="858">
        <f>E12*F12</f>
        <v>2336.2248</v>
      </c>
      <c r="H12" s="357"/>
    </row>
    <row r="13" spans="1:14" x14ac:dyDescent="0.2">
      <c r="A13" s="192" t="s">
        <v>88</v>
      </c>
      <c r="B13" s="335" t="str">
        <f>IF(C13="","",$B$11&amp;"."&amp;COUNT($F$12:F13))</f>
        <v>1.1.2</v>
      </c>
      <c r="C13" s="192" t="s">
        <v>22</v>
      </c>
      <c r="D13" s="190" t="s">
        <v>1</v>
      </c>
      <c r="E13" s="860">
        <f>SUMIFS('2. DADOS DE ENTRADA'!C:C,'2. DADOS DE ENTRADA'!A:A,'6. COLETA SELETIVA'!A13,'2. DADOS DE ENTRADA'!B:B,'6. COLETA SELETIVA'!$C$11)</f>
        <v>0.4</v>
      </c>
      <c r="F13" s="858">
        <f>'3. PREÇOS UNITÁRIOS'!D21</f>
        <v>1412</v>
      </c>
      <c r="G13" s="858">
        <f>E13*F13</f>
        <v>564.80000000000007</v>
      </c>
      <c r="H13" s="337"/>
      <c r="I13" s="224"/>
    </row>
    <row r="14" spans="1:14" ht="15" x14ac:dyDescent="0.25">
      <c r="B14" s="335"/>
      <c r="D14" s="190"/>
      <c r="E14" s="860"/>
      <c r="F14" s="858"/>
      <c r="G14" s="861">
        <f>SUM(G12:G13)</f>
        <v>2901.0248000000001</v>
      </c>
      <c r="H14" s="337"/>
      <c r="I14" s="224"/>
    </row>
    <row r="15" spans="1:14" x14ac:dyDescent="0.2">
      <c r="A15" s="192" t="s">
        <v>109</v>
      </c>
      <c r="B15" s="335" t="str">
        <f>IF(C15="","",$B$11&amp;"."&amp;COUNT($F$12:F15))</f>
        <v>1.1.3</v>
      </c>
      <c r="C15" s="192" t="s">
        <v>254</v>
      </c>
      <c r="D15" s="190" t="s">
        <v>21</v>
      </c>
      <c r="E15" s="862">
        <f>SUMIFS('2. DADOS DE ENTRADA'!D:D,'2. DADOS DE ENTRADA'!A:A,'6. COLETA SELETIVA'!A15,'2. DADOS DE ENTRADA'!B:B,'6. COLETA SELETIVA'!C11)</f>
        <v>0</v>
      </c>
      <c r="F15" s="863">
        <f>(G14/E12)*1.5</f>
        <v>25.098265082477795</v>
      </c>
      <c r="G15" s="863">
        <f>F15*E15</f>
        <v>0</v>
      </c>
      <c r="H15" s="403"/>
    </row>
    <row r="16" spans="1:14" x14ac:dyDescent="0.2">
      <c r="A16" s="192" t="s">
        <v>95</v>
      </c>
      <c r="B16" s="335" t="str">
        <f>IF(C16="","",$B$11&amp;"."&amp;COUNT($F$12:F16))</f>
        <v>1.1.4</v>
      </c>
      <c r="C16" s="192" t="s">
        <v>255</v>
      </c>
      <c r="D16" s="190" t="s">
        <v>21</v>
      </c>
      <c r="E16" s="862">
        <f>SUMIFS('2. DADOS DE ENTRADA'!D:D,'2. DADOS DE ENTRADA'!A:A,'6. COLETA SELETIVA'!A16,'2. DADOS DE ENTRADA'!B:B,'6. COLETA SELETIVA'!C11)</f>
        <v>0</v>
      </c>
      <c r="F16" s="863">
        <f>(G14/E12)*2</f>
        <v>33.464353443303729</v>
      </c>
      <c r="G16" s="863">
        <f>F16*E16</f>
        <v>0</v>
      </c>
      <c r="H16" s="403"/>
      <c r="I16" s="224"/>
    </row>
    <row r="17" spans="1:9" x14ac:dyDescent="0.2">
      <c r="A17" s="379"/>
      <c r="B17" s="275" t="str">
        <f>IF(C17="","",$B$11&amp;"."&amp;COUNT($F$12:F17))</f>
        <v/>
      </c>
      <c r="C17" s="276"/>
      <c r="D17" s="276"/>
      <c r="E17" s="865"/>
      <c r="F17" s="866" t="s">
        <v>352</v>
      </c>
      <c r="G17" s="867">
        <f>G14+G15+G16</f>
        <v>2901.0248000000001</v>
      </c>
      <c r="H17" s="403"/>
    </row>
    <row r="18" spans="1:9" x14ac:dyDescent="0.2">
      <c r="A18" s="192" t="s">
        <v>273</v>
      </c>
      <c r="B18" s="335" t="str">
        <f>IF(C18="","",$B$11&amp;"."&amp;COUNT($F$12:F18))</f>
        <v>1.1.5</v>
      </c>
      <c r="C18" s="192" t="s">
        <v>23</v>
      </c>
      <c r="D18" s="190" t="s">
        <v>1</v>
      </c>
      <c r="E18" s="869">
        <f>SUMIFS('2. DADOS DE ENTRADA'!C:C,'2. DADOS DE ENTRADA'!A:A,'6. COLETA SELETIVA'!A18,'2. DADOS DE ENTRADA'!B:B,'6. COLETA SELETIVA'!$C$11)</f>
        <v>0.71101040000000004</v>
      </c>
      <c r="F18" s="858">
        <f>G17</f>
        <v>2901.0248000000001</v>
      </c>
      <c r="G18" s="858">
        <f>(E18)*F18</f>
        <v>2062.6588034579204</v>
      </c>
      <c r="H18" s="357"/>
    </row>
    <row r="19" spans="1:9" x14ac:dyDescent="0.2">
      <c r="A19" s="379"/>
      <c r="B19" s="275" t="str">
        <f>IF(C19="","",$B$11&amp;"."&amp;COUNT($F$12:F19))</f>
        <v/>
      </c>
      <c r="C19" s="276"/>
      <c r="D19" s="276"/>
      <c r="E19" s="865"/>
      <c r="F19" s="866" t="s">
        <v>352</v>
      </c>
      <c r="G19" s="867">
        <f>G18+G17</f>
        <v>4963.683603457921</v>
      </c>
      <c r="H19" s="357"/>
    </row>
    <row r="20" spans="1:9" x14ac:dyDescent="0.2">
      <c r="A20" s="192" t="s">
        <v>93</v>
      </c>
      <c r="B20" s="335" t="str">
        <f>IF(C20="","",$B$11&amp;"."&amp;COUNT($F$12:F20))</f>
        <v>1.1.6</v>
      </c>
      <c r="C20" s="192" t="s">
        <v>24</v>
      </c>
      <c r="D20" s="190" t="s">
        <v>25</v>
      </c>
      <c r="E20" s="870">
        <f>SUMIFS('2. DADOS DE ENTRADA'!O:O,'2. DADOS DE ENTRADA'!A:A,'6. COLETA SELETIVA'!A20,'2. DADOS DE ENTRADA'!B:B,'6. COLETA SELETIVA'!$C$11)+SUMIFS('2. DADOS DE ENTRADA'!P:P,'2. DADOS DE ENTRADA'!A:A,'6. COLETA SELETIVA'!A20,'2. DADOS DE ENTRADA'!B:B,'6. COLETA SELETIVA'!$C$11)</f>
        <v>0.23830000000000001</v>
      </c>
      <c r="F20" s="858">
        <f>G19</f>
        <v>4963.683603457921</v>
      </c>
      <c r="G20" s="858">
        <f>E20*F20</f>
        <v>1182.8458027040226</v>
      </c>
      <c r="H20" s="357"/>
    </row>
    <row r="21" spans="1:9" x14ac:dyDescent="0.2">
      <c r="A21" s="192" t="s">
        <v>93</v>
      </c>
      <c r="B21" s="335" t="str">
        <f>IF(C21="","",$B$11&amp;"."&amp;COUNT($F$12:F21))</f>
        <v>1.1.7</v>
      </c>
      <c r="C21" s="189" t="s">
        <v>131</v>
      </c>
      <c r="D21" s="193" t="s">
        <v>25</v>
      </c>
      <c r="E21" s="870">
        <f>SUMIFS('2. DADOS DE ENTRADA'!R:R,'2. DADOS DE ENTRADA'!A:A,'5. COLETA URBANA SEDE.DISTRITOS'!A22,'2. DADOS DE ENTRADA'!B:B,'5. COLETA URBANA SEDE.DISTRITOS'!$C$12)</f>
        <v>0.1</v>
      </c>
      <c r="F21" s="858">
        <f>G19</f>
        <v>4963.683603457921</v>
      </c>
      <c r="G21" s="858">
        <f>E21*F21</f>
        <v>496.3683603457921</v>
      </c>
    </row>
    <row r="22" spans="1:9" x14ac:dyDescent="0.2">
      <c r="A22" s="192" t="s">
        <v>104</v>
      </c>
      <c r="B22" s="335" t="str">
        <f>IF(C22="","",$B$11&amp;"."&amp;COUNT($F$12:F22))</f>
        <v>1.1.8</v>
      </c>
      <c r="C22" s="192" t="s">
        <v>29</v>
      </c>
      <c r="D22" s="190" t="s">
        <v>4</v>
      </c>
      <c r="E22" s="870">
        <f>SUMIFS('2. DADOS DE ENTRADA'!C:C,'2. DADOS DE ENTRADA'!A:A,'6. COLETA SELETIVA'!A22,'2. DADOS DE ENTRADA'!B:B,'6. COLETA SELETIVA'!$C$11)</f>
        <v>26</v>
      </c>
      <c r="F22" s="858">
        <f>'3. PREÇOS UNITÁRIOS'!D27/E22</f>
        <v>12.594230769230769</v>
      </c>
      <c r="G22" s="858">
        <f>E22*F22</f>
        <v>327.45</v>
      </c>
      <c r="H22" s="470"/>
      <c r="I22" s="471"/>
    </row>
    <row r="23" spans="1:9" x14ac:dyDescent="0.2">
      <c r="A23" s="192" t="s">
        <v>93</v>
      </c>
      <c r="B23" s="335" t="str">
        <f>IF(C23="","",$B$11&amp;"."&amp;COUNT($F$12:F23))</f>
        <v>1.1.9</v>
      </c>
      <c r="C23" s="192" t="s">
        <v>28</v>
      </c>
      <c r="D23" s="190" t="s">
        <v>25</v>
      </c>
      <c r="E23" s="870">
        <f>E20+E21</f>
        <v>0.33830000000000005</v>
      </c>
      <c r="F23" s="858">
        <f>'3. PREÇOS UNITÁRIOS'!D27</f>
        <v>327.45</v>
      </c>
      <c r="G23" s="858">
        <f>F23*E23</f>
        <v>110.77633500000002</v>
      </c>
    </row>
    <row r="24" spans="1:9" x14ac:dyDescent="0.2">
      <c r="B24" s="335" t="str">
        <f>IF(C24="","",$B$11&amp;"."&amp;COUNT($F$12:F24))</f>
        <v>1.1.10</v>
      </c>
      <c r="C24" s="192" t="s">
        <v>638</v>
      </c>
      <c r="D24" s="190" t="s">
        <v>25</v>
      </c>
      <c r="E24" s="870">
        <f>E23</f>
        <v>0.33830000000000005</v>
      </c>
      <c r="F24" s="858">
        <f>'3. PREÇOS UNITÁRIOS'!D29</f>
        <v>40</v>
      </c>
      <c r="G24" s="858">
        <f>F24*E24</f>
        <v>13.532000000000002</v>
      </c>
    </row>
    <row r="25" spans="1:9" ht="15" x14ac:dyDescent="0.25">
      <c r="A25" s="379"/>
      <c r="B25" s="277"/>
      <c r="C25" s="278"/>
      <c r="D25" s="278"/>
      <c r="E25" s="873"/>
      <c r="F25" s="874" t="s">
        <v>284</v>
      </c>
      <c r="G25" s="875">
        <f>G20+G21+G23+G24</f>
        <v>1803.5224980498147</v>
      </c>
      <c r="H25" s="347"/>
    </row>
    <row r="26" spans="1:9" s="192" customFormat="1" ht="15" x14ac:dyDescent="0.25">
      <c r="B26" s="345"/>
      <c r="D26" s="190"/>
      <c r="E26" s="857"/>
      <c r="F26" s="877"/>
      <c r="G26" s="878"/>
      <c r="H26" s="357"/>
    </row>
    <row r="27" spans="1:9" x14ac:dyDescent="0.2">
      <c r="B27" s="271" t="s">
        <v>89</v>
      </c>
      <c r="C27" s="272" t="s">
        <v>30</v>
      </c>
      <c r="D27" s="273"/>
      <c r="E27" s="879"/>
      <c r="F27" s="879"/>
      <c r="G27" s="879"/>
      <c r="H27" s="357"/>
    </row>
    <row r="28" spans="1:9" x14ac:dyDescent="0.2">
      <c r="A28" s="192" t="s">
        <v>96</v>
      </c>
      <c r="B28" s="335" t="str">
        <f>IF(C28="","",$B$27&amp;"."&amp;COUNT($F$28:F28))</f>
        <v>1.2.1</v>
      </c>
      <c r="C28" s="192" t="s">
        <v>20</v>
      </c>
      <c r="D28" s="190" t="s">
        <v>21</v>
      </c>
      <c r="E28" s="857">
        <f>SUMIFS('2. DADOS DE ENTRADA'!C:C,'2. DADOS DE ENTRADA'!A:A,'6. COLETA SELETIVA'!A28,'2. DADOS DE ENTRADA'!B:B,'6. COLETA SELETIVA'!$C$27)</f>
        <v>133</v>
      </c>
      <c r="F28" s="858">
        <f>'3. PREÇOS UNITÁRIOS'!D23/'6. COLETA SELETIVA'!E28</f>
        <v>12.233185714285714</v>
      </c>
      <c r="G28" s="858">
        <f>E28*F28</f>
        <v>1627.0137</v>
      </c>
      <c r="H28" s="357"/>
    </row>
    <row r="29" spans="1:9" x14ac:dyDescent="0.2">
      <c r="A29" s="192" t="s">
        <v>88</v>
      </c>
      <c r="B29" s="335" t="str">
        <f>IF(C29="","",$B$27&amp;"."&amp;COUNT($F$28:F29))</f>
        <v>1.2.2</v>
      </c>
      <c r="C29" s="192" t="s">
        <v>22</v>
      </c>
      <c r="D29" s="190" t="s">
        <v>1</v>
      </c>
      <c r="E29" s="860">
        <f>SUMIFS('2. DADOS DE ENTRADA'!C:C,'2. DADOS DE ENTRADA'!A:A,'6. COLETA SELETIVA'!A29,'2. DADOS DE ENTRADA'!B:B,'6. COLETA SELETIVA'!$C$27)</f>
        <v>0.4</v>
      </c>
      <c r="F29" s="858">
        <f>'3. PREÇOS UNITÁRIOS'!D21</f>
        <v>1412</v>
      </c>
      <c r="G29" s="858">
        <f>E29*F29</f>
        <v>564.80000000000007</v>
      </c>
      <c r="H29" s="472"/>
      <c r="I29" s="473"/>
    </row>
    <row r="30" spans="1:9" ht="15" x14ac:dyDescent="0.25">
      <c r="B30" s="335"/>
      <c r="D30" s="190"/>
      <c r="E30" s="860"/>
      <c r="F30" s="858"/>
      <c r="G30" s="861">
        <f>SUM(G28:G29)</f>
        <v>2191.8137000000002</v>
      </c>
      <c r="H30" s="472"/>
      <c r="I30" s="473"/>
    </row>
    <row r="31" spans="1:9" s="192" customFormat="1" x14ac:dyDescent="0.2">
      <c r="A31" s="192" t="s">
        <v>109</v>
      </c>
      <c r="B31" s="335" t="str">
        <f>IF(C31="","",$B$27&amp;"."&amp;COUNT($F$28:F31))</f>
        <v>1.2.3</v>
      </c>
      <c r="C31" s="192" t="s">
        <v>254</v>
      </c>
      <c r="D31" s="190" t="s">
        <v>21</v>
      </c>
      <c r="E31" s="862">
        <f>SUMIFS('2. DADOS DE ENTRADA'!D:D,'2. DADOS DE ENTRADA'!A:A,'6. COLETA SELETIVA'!A31,'2. DADOS DE ENTRADA'!B:B,'6. COLETA SELETIVA'!C27)</f>
        <v>0</v>
      </c>
      <c r="F31" s="863">
        <f>(G30/E28)*1.5</f>
        <v>24.719703383458651</v>
      </c>
      <c r="G31" s="863">
        <f>(E31)*F31</f>
        <v>0</v>
      </c>
      <c r="H31" s="357"/>
    </row>
    <row r="32" spans="1:9" s="192" customFormat="1" x14ac:dyDescent="0.2">
      <c r="A32" s="192" t="s">
        <v>95</v>
      </c>
      <c r="B32" s="335" t="str">
        <f>IF(C32="","",$B$27&amp;"."&amp;COUNT($F$28:F32))</f>
        <v>1.2.4</v>
      </c>
      <c r="C32" s="192" t="s">
        <v>255</v>
      </c>
      <c r="D32" s="190" t="s">
        <v>21</v>
      </c>
      <c r="E32" s="862">
        <f>SUMIFS('2. DADOS DE ENTRADA'!D:D,'2. DADOS DE ENTRADA'!A:A,'6. COLETA SELETIVA'!A32,'2. DADOS DE ENTRADA'!B:B,'6. COLETA SELETIVA'!C27)</f>
        <v>0</v>
      </c>
      <c r="F32" s="863">
        <f>(G30/F28)*2</f>
        <v>358.33898890955868</v>
      </c>
      <c r="G32" s="863">
        <f>(E32)*F32</f>
        <v>0</v>
      </c>
      <c r="H32" s="357"/>
    </row>
    <row r="33" spans="1:8" s="192" customFormat="1" x14ac:dyDescent="0.2">
      <c r="A33" s="379"/>
      <c r="B33" s="275" t="str">
        <f>IF(C33="","",$B$27&amp;"."&amp;COUNT($F$28:F33))</f>
        <v/>
      </c>
      <c r="C33" s="276"/>
      <c r="D33" s="276"/>
      <c r="E33" s="865"/>
      <c r="F33" s="866" t="s">
        <v>352</v>
      </c>
      <c r="G33" s="867">
        <f>G30+G31+G32</f>
        <v>2191.8137000000002</v>
      </c>
      <c r="H33" s="357"/>
    </row>
    <row r="34" spans="1:8" x14ac:dyDescent="0.2">
      <c r="A34" s="192" t="s">
        <v>273</v>
      </c>
      <c r="B34" s="335" t="str">
        <f>IF(C34="","",$B$27&amp;"."&amp;COUNT($F$28:F34))</f>
        <v>1.2.5</v>
      </c>
      <c r="C34" s="192" t="s">
        <v>23</v>
      </c>
      <c r="D34" s="190" t="s">
        <v>1</v>
      </c>
      <c r="E34" s="869">
        <f>SUMIFS('2. DADOS DE ENTRADA'!C:C,'2. DADOS DE ENTRADA'!A:A,'6. COLETA SELETIVA'!A34,'2. DADOS DE ENTRADA'!B:B,'6. COLETA SELETIVA'!$C$27)</f>
        <v>0.71101040000000004</v>
      </c>
      <c r="F34" s="858">
        <f>G33</f>
        <v>2191.8137000000002</v>
      </c>
      <c r="G34" s="858">
        <f>(E34)*F34</f>
        <v>1558.4023355624802</v>
      </c>
      <c r="H34" s="357"/>
    </row>
    <row r="35" spans="1:8" x14ac:dyDescent="0.2">
      <c r="A35" s="379"/>
      <c r="B35" s="275" t="str">
        <f>IF(C35="","",$B$27&amp;"."&amp;COUNT($F$28:F35))</f>
        <v/>
      </c>
      <c r="C35" s="276"/>
      <c r="D35" s="276"/>
      <c r="E35" s="865"/>
      <c r="F35" s="866" t="s">
        <v>353</v>
      </c>
      <c r="G35" s="867">
        <f>G33+G34</f>
        <v>3750.2160355624801</v>
      </c>
      <c r="H35" s="357"/>
    </row>
    <row r="36" spans="1:8" x14ac:dyDescent="0.2">
      <c r="A36" s="192" t="s">
        <v>93</v>
      </c>
      <c r="B36" s="335" t="str">
        <f>IF(C36="","",$B$27&amp;"."&amp;COUNT($F$28:F36))</f>
        <v>1.2.6</v>
      </c>
      <c r="C36" s="192" t="s">
        <v>31</v>
      </c>
      <c r="D36" s="190" t="s">
        <v>25</v>
      </c>
      <c r="E36" s="870">
        <f>SUMIFS('2. DADOS DE ENTRADA'!O:O,'2. DADOS DE ENTRADA'!A:A,'6. COLETA SELETIVA'!A36,'2. DADOS DE ENTRADA'!B:B,'6. COLETA SELETIVA'!$C$27)+SUMIFS('2. DADOS DE ENTRADA'!P:P,'2. DADOS DE ENTRADA'!A:A,'6. COLETA SELETIVA'!A36,'2. DADOS DE ENTRADA'!B:B,'6. COLETA SELETIVA'!$C$27)</f>
        <v>0.7</v>
      </c>
      <c r="F36" s="858">
        <f>G35</f>
        <v>3750.2160355624801</v>
      </c>
      <c r="G36" s="858">
        <f>E36*F36</f>
        <v>2625.1512248937361</v>
      </c>
      <c r="H36" s="357"/>
    </row>
    <row r="37" spans="1:8" x14ac:dyDescent="0.2">
      <c r="A37" s="192" t="s">
        <v>93</v>
      </c>
      <c r="B37" s="335" t="str">
        <f>IF(C37="","",$B$27&amp;"."&amp;COUNT($F$28:F37))</f>
        <v>1.2.7</v>
      </c>
      <c r="C37" s="189" t="s">
        <v>26</v>
      </c>
      <c r="D37" s="193" t="s">
        <v>25</v>
      </c>
      <c r="E37" s="870">
        <f>SUMIFS('2. DADOS DE ENTRADA'!R:R,'2. DADOS DE ENTRADA'!A:A,'6. COLETA SELETIVA'!A37,'2. DADOS DE ENTRADA'!B:B,'6. COLETA SELETIVA'!$C$27)</f>
        <v>0.2</v>
      </c>
      <c r="F37" s="858">
        <f>G35</f>
        <v>3750.2160355624801</v>
      </c>
      <c r="G37" s="858">
        <f>E37*F37</f>
        <v>750.04320711249602</v>
      </c>
    </row>
    <row r="38" spans="1:8" x14ac:dyDescent="0.2">
      <c r="A38" s="192" t="s">
        <v>104</v>
      </c>
      <c r="B38" s="335" t="str">
        <f>IF(C38="","",$B$27&amp;"."&amp;COUNT($F$28:F38))</f>
        <v>1.2.8</v>
      </c>
      <c r="C38" s="192" t="s">
        <v>29</v>
      </c>
      <c r="D38" s="190" t="s">
        <v>4</v>
      </c>
      <c r="E38" s="870">
        <f>SUMIFS('2. DADOS DE ENTRADA'!C:C,'2. DADOS DE ENTRADA'!A:A,'6. COLETA SELETIVA'!A38,'2. DADOS DE ENTRADA'!B:B,'6. COLETA SELETIVA'!$C$27)</f>
        <v>26</v>
      </c>
      <c r="F38" s="858">
        <f>'3. PREÇOS UNITÁRIOS'!D27/E38</f>
        <v>12.594230769230769</v>
      </c>
      <c r="G38" s="858">
        <f>E38*F38</f>
        <v>327.45</v>
      </c>
      <c r="H38" s="470"/>
    </row>
    <row r="39" spans="1:8" x14ac:dyDescent="0.2">
      <c r="A39" s="192" t="s">
        <v>93</v>
      </c>
      <c r="B39" s="335" t="str">
        <f>IF(C39="","",$B$27&amp;"."&amp;COUNT($F$28:F39))</f>
        <v>1.2.9</v>
      </c>
      <c r="C39" s="192" t="s">
        <v>32</v>
      </c>
      <c r="D39" s="190" t="s">
        <v>25</v>
      </c>
      <c r="E39" s="870">
        <f>E36+E37</f>
        <v>0.89999999999999991</v>
      </c>
      <c r="F39" s="858">
        <f>'3. PREÇOS UNITÁRIOS'!D27</f>
        <v>327.45</v>
      </c>
      <c r="G39" s="858">
        <f>F39*E39</f>
        <v>294.70499999999998</v>
      </c>
    </row>
    <row r="40" spans="1:8" x14ac:dyDescent="0.2">
      <c r="B40" s="335" t="str">
        <f>IF(C40="","",$B$27&amp;"."&amp;COUNT($F$28:F40))</f>
        <v>1.2.10</v>
      </c>
      <c r="C40" s="192" t="s">
        <v>638</v>
      </c>
      <c r="D40" s="190" t="s">
        <v>25</v>
      </c>
      <c r="E40" s="870">
        <f>E39</f>
        <v>0.89999999999999991</v>
      </c>
      <c r="F40" s="858">
        <f>'3. PREÇOS UNITÁRIOS'!D29</f>
        <v>40</v>
      </c>
      <c r="G40" s="858">
        <f>F40*E40</f>
        <v>36</v>
      </c>
    </row>
    <row r="41" spans="1:8" x14ac:dyDescent="0.2">
      <c r="A41" s="379"/>
      <c r="B41" s="277" t="str">
        <f>IF(C41="","",$B$27&amp;"."&amp;COUNT($F$28:F41))</f>
        <v/>
      </c>
      <c r="C41" s="278"/>
      <c r="D41" s="278"/>
      <c r="E41" s="873"/>
      <c r="F41" s="874" t="s">
        <v>285</v>
      </c>
      <c r="G41" s="875">
        <f>G36+G37+G39+G40</f>
        <v>3705.899432006232</v>
      </c>
      <c r="H41" s="357"/>
    </row>
    <row r="42" spans="1:8" x14ac:dyDescent="0.2">
      <c r="B42" s="335"/>
      <c r="D42" s="190"/>
      <c r="E42" s="857"/>
      <c r="F42" s="901"/>
      <c r="G42" s="901"/>
      <c r="H42" s="403"/>
    </row>
    <row r="43" spans="1:8" ht="15" x14ac:dyDescent="0.2">
      <c r="B43" s="221"/>
      <c r="C43" s="441"/>
      <c r="D43" s="441"/>
      <c r="E43" s="1048" t="s">
        <v>34</v>
      </c>
      <c r="F43" s="1048"/>
      <c r="G43" s="1048">
        <f>G41+G25</f>
        <v>5509.4219300560471</v>
      </c>
      <c r="H43" s="357"/>
    </row>
    <row r="44" spans="1:8" x14ac:dyDescent="0.2">
      <c r="B44" s="335"/>
      <c r="D44" s="190"/>
      <c r="E44" s="857"/>
      <c r="F44" s="901"/>
      <c r="G44" s="901"/>
      <c r="H44" s="357"/>
    </row>
    <row r="45" spans="1:8" x14ac:dyDescent="0.2">
      <c r="B45" s="442" t="s">
        <v>5</v>
      </c>
      <c r="C45" s="443" t="s">
        <v>72</v>
      </c>
      <c r="D45" s="444"/>
      <c r="E45" s="1049"/>
      <c r="F45" s="1049"/>
      <c r="G45" s="1049"/>
      <c r="H45" s="357"/>
    </row>
    <row r="46" spans="1:8" x14ac:dyDescent="0.2">
      <c r="B46" s="268" t="s">
        <v>7</v>
      </c>
      <c r="C46" s="269" t="s">
        <v>8</v>
      </c>
      <c r="D46" s="269" t="s">
        <v>9</v>
      </c>
      <c r="E46" s="938" t="s">
        <v>10</v>
      </c>
      <c r="F46" s="938" t="s">
        <v>11</v>
      </c>
      <c r="G46" s="938" t="s">
        <v>12</v>
      </c>
      <c r="H46" s="190"/>
    </row>
    <row r="47" spans="1:8" x14ac:dyDescent="0.2">
      <c r="B47" s="271" t="s">
        <v>91</v>
      </c>
      <c r="C47" s="272" t="s">
        <v>281</v>
      </c>
      <c r="D47" s="273"/>
      <c r="E47" s="879"/>
      <c r="F47" s="879"/>
      <c r="G47" s="879"/>
      <c r="H47" s="357"/>
    </row>
    <row r="48" spans="1:8" x14ac:dyDescent="0.2">
      <c r="A48" s="192" t="s">
        <v>92</v>
      </c>
      <c r="B48" s="335" t="str">
        <f>IF(C48="","",$B$47&amp;"."&amp;COUNT($F$48:F48))</f>
        <v>2.1.0</v>
      </c>
      <c r="C48" s="192" t="s">
        <v>87</v>
      </c>
      <c r="D48" s="190" t="s">
        <v>25</v>
      </c>
      <c r="E48" s="862">
        <f>SUMIFS('2. DADOS DE ENTRADA'!E:E,'2. DADOS DE ENTRADA'!A:A,'6. COLETA SELETIVA'!A48,'2. DADOS DE ENTRADA'!B:B,'6. COLETA SELETIVA'!C47)</f>
        <v>0</v>
      </c>
      <c r="F48" s="858"/>
      <c r="G48" s="858"/>
      <c r="H48" s="403"/>
    </row>
    <row r="49" spans="1:9" ht="15" x14ac:dyDescent="0.25">
      <c r="A49" s="192" t="s">
        <v>96</v>
      </c>
      <c r="B49" s="335" t="str">
        <f>IF(C49="","",$B$47&amp;"."&amp;COUNT($F$48:F49))</f>
        <v>2.1.1</v>
      </c>
      <c r="C49" s="192" t="s">
        <v>20</v>
      </c>
      <c r="D49" s="190" t="s">
        <v>21</v>
      </c>
      <c r="E49" s="862">
        <f>SUMIFS('2. DADOS DE ENTRADA'!C:C,'2. DADOS DE ENTRADA'!A:A,'6. COLETA SELETIVA'!A49,'2. DADOS DE ENTRADA'!B:B,'6. COLETA SELETIVA'!$C$47)</f>
        <v>120</v>
      </c>
      <c r="F49" s="858">
        <f>'3. PREÇOS UNITÁRIOS'!D24/'6. COLETA SELETIVA'!E49</f>
        <v>13.5584475</v>
      </c>
      <c r="G49" s="861">
        <f t="shared" ref="G49:G54" si="0">E49*F49</f>
        <v>1627.0137</v>
      </c>
      <c r="H49" s="403"/>
    </row>
    <row r="50" spans="1:9" x14ac:dyDescent="0.2">
      <c r="A50" s="192" t="s">
        <v>275</v>
      </c>
      <c r="B50" s="335" t="str">
        <f>IF(C50="","",$B$47&amp;"."&amp;COUNT($F$48:F50))</f>
        <v>2.1.2</v>
      </c>
      <c r="C50" s="192" t="s">
        <v>33</v>
      </c>
      <c r="D50" s="190" t="s">
        <v>1</v>
      </c>
      <c r="E50" s="1050">
        <f>SUMIFS('2. DADOS DE ENTRADA'!C:C,'2. DADOS DE ENTRADA'!A:A,'6. COLETA SELETIVA'!A50,'2. DADOS DE ENTRADA'!B:B,'6. COLETA SELETIVA'!$C$47)</f>
        <v>0</v>
      </c>
      <c r="F50" s="863">
        <f>G49</f>
        <v>1627.0137</v>
      </c>
      <c r="G50" s="863">
        <f t="shared" si="0"/>
        <v>0</v>
      </c>
      <c r="H50" s="403"/>
    </row>
    <row r="51" spans="1:9" x14ac:dyDescent="0.2">
      <c r="A51" s="192" t="s">
        <v>88</v>
      </c>
      <c r="B51" s="335" t="str">
        <f>IF(C51="","",$B$47&amp;"."&amp;COUNT($F$48:F51))</f>
        <v>2.1.3</v>
      </c>
      <c r="C51" s="192" t="s">
        <v>22</v>
      </c>
      <c r="D51" s="190" t="s">
        <v>1</v>
      </c>
      <c r="E51" s="1050">
        <f>SUMIFS('2. DADOS DE ENTRADA'!C:C,'2. DADOS DE ENTRADA'!A:A,'6. COLETA SELETIVA'!A51,'2. DADOS DE ENTRADA'!B:B,'6. COLETA SELETIVA'!$C$47)</f>
        <v>0.4</v>
      </c>
      <c r="F51" s="863">
        <f>'3. PREÇOS UNITÁRIOS'!D21</f>
        <v>1412</v>
      </c>
      <c r="G51" s="863">
        <f t="shared" si="0"/>
        <v>564.80000000000007</v>
      </c>
      <c r="H51" s="403"/>
      <c r="I51" s="224"/>
    </row>
    <row r="52" spans="1:9" x14ac:dyDescent="0.2">
      <c r="B52" s="275"/>
      <c r="C52" s="276"/>
      <c r="D52" s="276"/>
      <c r="E52" s="865"/>
      <c r="F52" s="866"/>
      <c r="G52" s="867">
        <f>SUM(G49:G51)</f>
        <v>2191.8137000000002</v>
      </c>
      <c r="H52" s="403"/>
      <c r="I52" s="224"/>
    </row>
    <row r="53" spans="1:9" x14ac:dyDescent="0.2">
      <c r="A53" s="192" t="s">
        <v>109</v>
      </c>
      <c r="B53" s="335" t="str">
        <f>IF(C53="","",$B$47&amp;"."&amp;COUNT($F$48:F53))</f>
        <v>2.1.4</v>
      </c>
      <c r="C53" s="192" t="s">
        <v>254</v>
      </c>
      <c r="D53" s="190" t="s">
        <v>35</v>
      </c>
      <c r="E53" s="862">
        <f>SUMIFS('2. DADOS DE ENTRADA'!D:D,'2. DADOS DE ENTRADA'!A:A,'6. COLETA SELETIVA'!A53,'2. DADOS DE ENTRADA'!B:B,'6. COLETA SELETIVA'!C47)</f>
        <v>0</v>
      </c>
      <c r="F53" s="863">
        <f>(G52/E49)*1.5</f>
        <v>27.397671250000002</v>
      </c>
      <c r="G53" s="863">
        <f t="shared" si="0"/>
        <v>0</v>
      </c>
      <c r="H53" s="189"/>
    </row>
    <row r="54" spans="1:9" x14ac:dyDescent="0.2">
      <c r="A54" s="204" t="s">
        <v>95</v>
      </c>
      <c r="B54" s="335" t="str">
        <f>IF(C54="","",$B$47&amp;"."&amp;COUNT($F$48:F54))</f>
        <v>2.1.5</v>
      </c>
      <c r="C54" s="192" t="s">
        <v>255</v>
      </c>
      <c r="D54" s="190" t="s">
        <v>35</v>
      </c>
      <c r="E54" s="862">
        <f>SUMIFS('2. DADOS DE ENTRADA'!D:D,'2. DADOS DE ENTRADA'!A:A,'6. COLETA SELETIVA'!A54,'2. DADOS DE ENTRADA'!B:B,'6. COLETA SELETIVA'!C47)</f>
        <v>0</v>
      </c>
      <c r="F54" s="863">
        <f>(G52/E49)*2</f>
        <v>36.530228333333334</v>
      </c>
      <c r="G54" s="863">
        <f t="shared" si="0"/>
        <v>0</v>
      </c>
      <c r="H54" s="189"/>
    </row>
    <row r="55" spans="1:9" x14ac:dyDescent="0.2">
      <c r="A55" s="379"/>
      <c r="B55" s="275" t="str">
        <f>IF(C55="","",$B$47&amp;"."&amp;COUNT($F$48:F55))</f>
        <v/>
      </c>
      <c r="C55" s="276"/>
      <c r="D55" s="276"/>
      <c r="E55" s="865"/>
      <c r="F55" s="866" t="s">
        <v>352</v>
      </c>
      <c r="G55" s="867">
        <f>G52+G53+G54</f>
        <v>2191.8137000000002</v>
      </c>
      <c r="H55" s="189"/>
    </row>
    <row r="56" spans="1:9" x14ac:dyDescent="0.2">
      <c r="A56" s="192" t="s">
        <v>273</v>
      </c>
      <c r="B56" s="335" t="str">
        <f>IF(C56="","",$B$47&amp;"."&amp;COUNT($F$48:F56))</f>
        <v>2.1.6</v>
      </c>
      <c r="C56" s="192" t="s">
        <v>23</v>
      </c>
      <c r="D56" s="190" t="s">
        <v>1</v>
      </c>
      <c r="E56" s="1050">
        <f>SUMIFS('2. DADOS DE ENTRADA'!C:C,'2. DADOS DE ENTRADA'!A:A,'6. COLETA SELETIVA'!A56,'2. DADOS DE ENTRADA'!B:B,'6. COLETA SELETIVA'!$C$47)</f>
        <v>0.71101040000000004</v>
      </c>
      <c r="F56" s="863">
        <f>G55</f>
        <v>2191.8137000000002</v>
      </c>
      <c r="G56" s="863">
        <f>(E56)*F56</f>
        <v>1558.4023355624802</v>
      </c>
      <c r="H56" s="403"/>
    </row>
    <row r="57" spans="1:9" x14ac:dyDescent="0.2">
      <c r="A57" s="379"/>
      <c r="B57" s="275" t="str">
        <f>IF(C57="","",$B$47&amp;"."&amp;COUNT($F$48:F57))</f>
        <v/>
      </c>
      <c r="C57" s="276"/>
      <c r="D57" s="276"/>
      <c r="E57" s="865"/>
      <c r="F57" s="866" t="s">
        <v>352</v>
      </c>
      <c r="G57" s="867">
        <f>G56+G55</f>
        <v>3750.2160355624801</v>
      </c>
      <c r="H57" s="357"/>
    </row>
    <row r="58" spans="1:9" s="192" customFormat="1" ht="28.5" x14ac:dyDescent="0.2">
      <c r="A58" s="379" t="s">
        <v>92</v>
      </c>
      <c r="B58" s="335" t="str">
        <f>IF(C58="","",$B$47&amp;"."&amp;COUNT($F$48:F58))</f>
        <v>2.1.7</v>
      </c>
      <c r="C58" s="192" t="s">
        <v>396</v>
      </c>
      <c r="D58" s="190" t="s">
        <v>25</v>
      </c>
      <c r="E58" s="862">
        <f>E48</f>
        <v>0</v>
      </c>
      <c r="F58" s="863">
        <f>G57</f>
        <v>3750.2160355624801</v>
      </c>
      <c r="G58" s="863">
        <f>F58*E58</f>
        <v>0</v>
      </c>
      <c r="H58" s="357"/>
    </row>
    <row r="59" spans="1:9" s="192" customFormat="1" x14ac:dyDescent="0.2">
      <c r="A59" s="192" t="s">
        <v>103</v>
      </c>
      <c r="B59" s="335" t="str">
        <f>IF(C59="","",$B$47&amp;"."&amp;COUNT($F$48:F59))</f>
        <v>2.1.8</v>
      </c>
      <c r="C59" s="192" t="s">
        <v>27</v>
      </c>
      <c r="D59" s="190" t="s">
        <v>4</v>
      </c>
      <c r="E59" s="862">
        <f>SUMIFS('2. DADOS DE ENTRADA'!C:C,'2. DADOS DE ENTRADA'!A:A,'6. COLETA SELETIVA'!A59,'2. DADOS DE ENTRADA'!B:B,'6. COLETA SELETIVA'!$C$47)</f>
        <v>52</v>
      </c>
      <c r="F59" s="863">
        <f>'3. PREÇOS UNITÁRIOS'!D26</f>
        <v>0</v>
      </c>
      <c r="G59" s="863">
        <f>E59*F59</f>
        <v>0</v>
      </c>
      <c r="H59" s="357"/>
    </row>
    <row r="60" spans="1:9" s="192" customFormat="1" ht="28.5" x14ac:dyDescent="0.2">
      <c r="A60" s="379" t="s">
        <v>92</v>
      </c>
      <c r="B60" s="335" t="str">
        <f>IF(C60="","",$B$47&amp;"."&amp;COUNT($F$48:F60))</f>
        <v>2.1.9</v>
      </c>
      <c r="C60" s="192" t="s">
        <v>396</v>
      </c>
      <c r="D60" s="190" t="s">
        <v>25</v>
      </c>
      <c r="E60" s="862">
        <f>E48</f>
        <v>0</v>
      </c>
      <c r="F60" s="863">
        <f>G59</f>
        <v>0</v>
      </c>
      <c r="G60" s="863">
        <f>F60*E60</f>
        <v>0</v>
      </c>
      <c r="H60" s="357"/>
    </row>
    <row r="61" spans="1:9" x14ac:dyDescent="0.2">
      <c r="A61" s="192" t="s">
        <v>104</v>
      </c>
      <c r="B61" s="335" t="str">
        <f>IF(C61="","",$B$47&amp;"."&amp;COUNT($F$48:F61))</f>
        <v>2.1.10</v>
      </c>
      <c r="C61" s="192" t="s">
        <v>29</v>
      </c>
      <c r="D61" s="190" t="s">
        <v>4</v>
      </c>
      <c r="E61" s="862">
        <f>SUMIFS('2. DADOS DE ENTRADA'!C:C,'2. DADOS DE ENTRADA'!A:A,'6. COLETA SELETIVA'!A61,'2. DADOS DE ENTRADA'!B:B,'6. COLETA SELETIVA'!$C$47)</f>
        <v>26</v>
      </c>
      <c r="F61" s="863">
        <f>'3. PREÇOS UNITÁRIOS'!D27/'6. COLETA SELETIVA'!E61</f>
        <v>12.594230769230769</v>
      </c>
      <c r="G61" s="863">
        <f>E61*F61</f>
        <v>327.45</v>
      </c>
      <c r="H61" s="357"/>
    </row>
    <row r="62" spans="1:9" x14ac:dyDescent="0.2">
      <c r="B62" s="335" t="str">
        <f>IF(C62="","",$B$47&amp;"."&amp;COUNT($F$48:F62))</f>
        <v>2.1.11</v>
      </c>
      <c r="C62" s="192" t="s">
        <v>395</v>
      </c>
      <c r="D62" s="190" t="s">
        <v>25</v>
      </c>
      <c r="E62" s="862">
        <f>E48</f>
        <v>0</v>
      </c>
      <c r="F62" s="863">
        <f>G61</f>
        <v>327.45</v>
      </c>
      <c r="G62" s="863">
        <f>E62*F62</f>
        <v>0</v>
      </c>
      <c r="H62" s="357"/>
    </row>
    <row r="63" spans="1:9" x14ac:dyDescent="0.2">
      <c r="B63" s="335" t="str">
        <f>IF(C63="","",$B$47&amp;"."&amp;COUNT($F$48:F63))</f>
        <v>2.1.12</v>
      </c>
      <c r="C63" s="192" t="s">
        <v>638</v>
      </c>
      <c r="D63" s="190" t="s">
        <v>25</v>
      </c>
      <c r="E63" s="862">
        <f>E62</f>
        <v>0</v>
      </c>
      <c r="F63" s="863">
        <f>'3. PREÇOS UNITÁRIOS'!D29</f>
        <v>40</v>
      </c>
      <c r="G63" s="863">
        <f>F63*E63</f>
        <v>0</v>
      </c>
      <c r="H63" s="357"/>
    </row>
    <row r="64" spans="1:9" x14ac:dyDescent="0.2">
      <c r="A64" s="379"/>
      <c r="B64" s="445" t="str">
        <f>IF(C64="","",$B$47&amp;"."&amp;COUNT($F$49:F65))</f>
        <v/>
      </c>
      <c r="C64" s="278"/>
      <c r="D64" s="278"/>
      <c r="E64" s="873"/>
      <c r="F64" s="874" t="s">
        <v>286</v>
      </c>
      <c r="G64" s="875">
        <f>G59+G60+G62+G63</f>
        <v>0</v>
      </c>
      <c r="H64" s="357"/>
    </row>
    <row r="65" spans="1:8" x14ac:dyDescent="0.2">
      <c r="B65" s="335"/>
      <c r="D65" s="190"/>
      <c r="E65" s="857"/>
      <c r="F65" s="901"/>
      <c r="G65" s="901"/>
      <c r="H65" s="357"/>
    </row>
    <row r="66" spans="1:8" x14ac:dyDescent="0.2">
      <c r="B66" s="271" t="s">
        <v>93</v>
      </c>
      <c r="C66" s="272" t="s">
        <v>261</v>
      </c>
      <c r="D66" s="273"/>
      <c r="E66" s="879"/>
      <c r="F66" s="879"/>
      <c r="G66" s="879"/>
      <c r="H66" s="357"/>
    </row>
    <row r="67" spans="1:8" x14ac:dyDescent="0.2">
      <c r="A67" s="192" t="s">
        <v>92</v>
      </c>
      <c r="B67" s="335" t="str">
        <f>IF(C67="","",$B$66&amp;"."&amp;COUNT($F$67:F67))</f>
        <v>2.2.0</v>
      </c>
      <c r="C67" s="192" t="s">
        <v>261</v>
      </c>
      <c r="D67" s="190" t="s">
        <v>25</v>
      </c>
      <c r="E67" s="862">
        <f>SUMIFS('2. DADOS DE ENTRADA'!E:E,'2. DADOS DE ENTRADA'!A:A,'6. COLETA SELETIVA'!A67,'2. DADOS DE ENTRADA'!B:B,'6. COLETA SELETIVA'!C66)</f>
        <v>0.2</v>
      </c>
      <c r="F67" s="858"/>
      <c r="G67" s="858"/>
      <c r="H67" s="357"/>
    </row>
    <row r="68" spans="1:8" ht="15" x14ac:dyDescent="0.25">
      <c r="A68" s="192" t="s">
        <v>96</v>
      </c>
      <c r="B68" s="335" t="str">
        <f>IF(C68="","",$B$66&amp;"."&amp;COUNT($F$67:F68))</f>
        <v>2.2.1</v>
      </c>
      <c r="C68" s="192" t="s">
        <v>20</v>
      </c>
      <c r="D68" s="190" t="s">
        <v>21</v>
      </c>
      <c r="E68" s="862">
        <f>SUMIFS('2. DADOS DE ENTRADA'!C:C,'2. DADOS DE ENTRADA'!A:A,'6. COLETA SELETIVA'!A68,'2. DADOS DE ENTRADA'!B:B,'6. COLETA SELETIVA'!$C$66)</f>
        <v>120</v>
      </c>
      <c r="F68" s="858">
        <f>'3. PREÇOS UNITÁRIOS'!D25/'6. COLETA SELETIVA'!E68</f>
        <v>13.5584475</v>
      </c>
      <c r="G68" s="861">
        <f t="shared" ref="G68:G73" si="1">E68*F68</f>
        <v>1627.0137</v>
      </c>
      <c r="H68" s="357"/>
    </row>
    <row r="69" spans="1:8" x14ac:dyDescent="0.2">
      <c r="A69" s="192" t="s">
        <v>275</v>
      </c>
      <c r="B69" s="335" t="str">
        <f>IF(C69="","",$B$66&amp;"."&amp;COUNT($F$67:F69))</f>
        <v>2.2.2</v>
      </c>
      <c r="C69" s="192" t="s">
        <v>33</v>
      </c>
      <c r="D69" s="190" t="s">
        <v>1</v>
      </c>
      <c r="E69" s="1050">
        <f>SUMIFS('2. DADOS DE ENTRADA'!C:C,'2. DADOS DE ENTRADA'!A:A,'6. COLETA SELETIVA'!A69,'2. DADOS DE ENTRADA'!B:B,'6. COLETA SELETIVA'!$C$66)</f>
        <v>0</v>
      </c>
      <c r="F69" s="863">
        <f>G68</f>
        <v>1627.0137</v>
      </c>
      <c r="G69" s="863">
        <f t="shared" si="1"/>
        <v>0</v>
      </c>
      <c r="H69" s="357"/>
    </row>
    <row r="70" spans="1:8" x14ac:dyDescent="0.2">
      <c r="A70" s="192" t="s">
        <v>88</v>
      </c>
      <c r="B70" s="335" t="str">
        <f>IF(C70="","",$B$66&amp;"."&amp;COUNT($F$67:F70))</f>
        <v>2.2.3</v>
      </c>
      <c r="C70" s="192" t="s">
        <v>22</v>
      </c>
      <c r="D70" s="190" t="s">
        <v>1</v>
      </c>
      <c r="E70" s="1050">
        <f>SUMIFS('2. DADOS DE ENTRADA'!C:C,'2. DADOS DE ENTRADA'!A:A,'6. COLETA SELETIVA'!A70,'2. DADOS DE ENTRADA'!B:B,'6. COLETA SELETIVA'!$C$66)</f>
        <v>0.4</v>
      </c>
      <c r="F70" s="863">
        <f>'3. PREÇOS UNITÁRIOS'!D21</f>
        <v>1412</v>
      </c>
      <c r="G70" s="863">
        <f t="shared" si="1"/>
        <v>564.80000000000007</v>
      </c>
      <c r="H70" s="357"/>
    </row>
    <row r="71" spans="1:8" x14ac:dyDescent="0.2">
      <c r="B71" s="275"/>
      <c r="C71" s="276"/>
      <c r="D71" s="276"/>
      <c r="E71" s="865"/>
      <c r="F71" s="866"/>
      <c r="G71" s="867">
        <f>SUM(G68:G70)</f>
        <v>2191.8137000000002</v>
      </c>
      <c r="H71" s="357"/>
    </row>
    <row r="72" spans="1:8" x14ac:dyDescent="0.2">
      <c r="A72" s="192" t="s">
        <v>109</v>
      </c>
      <c r="B72" s="335" t="str">
        <f>IF(C72="","",$B$66&amp;"."&amp;COUNT($F$67:F72))</f>
        <v>2.2.4</v>
      </c>
      <c r="C72" s="192" t="s">
        <v>254</v>
      </c>
      <c r="D72" s="190" t="s">
        <v>35</v>
      </c>
      <c r="E72" s="862">
        <f>SUMIFS('2. DADOS DE ENTRADA'!D:D,'2. DADOS DE ENTRADA'!A:A,'6. COLETA SELETIVA'!A72,'2. DADOS DE ENTRADA'!B:B,'6. COLETA SELETIVA'!C66)*E67</f>
        <v>0</v>
      </c>
      <c r="F72" s="863">
        <f>(G71/E68)*1.5</f>
        <v>27.397671250000002</v>
      </c>
      <c r="G72" s="863">
        <f t="shared" si="1"/>
        <v>0</v>
      </c>
      <c r="H72" s="403"/>
    </row>
    <row r="73" spans="1:8" x14ac:dyDescent="0.2">
      <c r="A73" s="204" t="s">
        <v>95</v>
      </c>
      <c r="B73" s="335" t="str">
        <f>IF(C73="","",$B$66&amp;"."&amp;COUNT($F$67:F73))</f>
        <v>2.2.5</v>
      </c>
      <c r="C73" s="192" t="s">
        <v>255</v>
      </c>
      <c r="D73" s="190" t="s">
        <v>35</v>
      </c>
      <c r="E73" s="862">
        <f>SUMIFS('2. DADOS DE ENTRADA'!D:D,'2. DADOS DE ENTRADA'!A:A,'6. COLETA SELETIVA'!A73,'2. DADOS DE ENTRADA'!B:B,'6. COLETA SELETIVA'!C66)*E67</f>
        <v>0</v>
      </c>
      <c r="F73" s="863">
        <f>(G71/E68)*2</f>
        <v>36.530228333333334</v>
      </c>
      <c r="G73" s="863">
        <f t="shared" si="1"/>
        <v>0</v>
      </c>
      <c r="H73" s="403"/>
    </row>
    <row r="74" spans="1:8" x14ac:dyDescent="0.2">
      <c r="A74" s="379"/>
      <c r="B74" s="275" t="str">
        <f>IF(C74="","",$B$66&amp;"."&amp;COUNT($F$67:F74))</f>
        <v/>
      </c>
      <c r="C74" s="276"/>
      <c r="D74" s="276"/>
      <c r="E74" s="865"/>
      <c r="F74" s="866" t="s">
        <v>352</v>
      </c>
      <c r="G74" s="867">
        <f>G71+G72+G73</f>
        <v>2191.8137000000002</v>
      </c>
      <c r="H74" s="403"/>
    </row>
    <row r="75" spans="1:8" x14ac:dyDescent="0.2">
      <c r="A75" s="192" t="s">
        <v>273</v>
      </c>
      <c r="B75" s="335" t="str">
        <f>IF(C75="","",$B$66&amp;"."&amp;COUNT($F$67:F75))</f>
        <v>2.2.6</v>
      </c>
      <c r="C75" s="192" t="s">
        <v>23</v>
      </c>
      <c r="D75" s="190" t="s">
        <v>1</v>
      </c>
      <c r="E75" s="1050">
        <f>SUMIFS('2. DADOS DE ENTRADA'!C:C,'2. DADOS DE ENTRADA'!A:A,'6. COLETA SELETIVA'!A75,'2. DADOS DE ENTRADA'!B:B,'6. COLETA SELETIVA'!$C$66)</f>
        <v>0.71101040000000004</v>
      </c>
      <c r="F75" s="863">
        <f>G74</f>
        <v>2191.8137000000002</v>
      </c>
      <c r="G75" s="863">
        <f>(E75)*F75</f>
        <v>1558.4023355624802</v>
      </c>
      <c r="H75" s="403"/>
    </row>
    <row r="76" spans="1:8" x14ac:dyDescent="0.2">
      <c r="A76" s="379"/>
      <c r="B76" s="275" t="str">
        <f>IF(C76="","",$B$66&amp;"."&amp;COUNT($F$67:F76))</f>
        <v/>
      </c>
      <c r="C76" s="276"/>
      <c r="D76" s="276"/>
      <c r="E76" s="865"/>
      <c r="F76" s="866" t="s">
        <v>352</v>
      </c>
      <c r="G76" s="867">
        <f>G74+G75</f>
        <v>3750.2160355624801</v>
      </c>
      <c r="H76" s="357"/>
    </row>
    <row r="77" spans="1:8" s="192" customFormat="1" x14ac:dyDescent="0.2">
      <c r="A77" s="379"/>
      <c r="B77" s="335" t="str">
        <f>IF(C77="","",$B$66&amp;"."&amp;COUNT($F$67:F77))</f>
        <v>2.2.7</v>
      </c>
      <c r="C77" s="192" t="s">
        <v>397</v>
      </c>
      <c r="D77" s="190" t="s">
        <v>25</v>
      </c>
      <c r="E77" s="862">
        <f>E67</f>
        <v>0.2</v>
      </c>
      <c r="F77" s="863">
        <f>G76</f>
        <v>3750.2160355624801</v>
      </c>
      <c r="G77" s="863">
        <f>F77*E77</f>
        <v>750.04320711249602</v>
      </c>
      <c r="H77" s="357"/>
    </row>
    <row r="78" spans="1:8" s="192" customFormat="1" x14ac:dyDescent="0.2">
      <c r="A78" s="192" t="s">
        <v>103</v>
      </c>
      <c r="B78" s="335" t="str">
        <f>IF(C78="","",$B$66&amp;"."&amp;COUNT($F$67:F78))</f>
        <v>2.2.8</v>
      </c>
      <c r="C78" s="192" t="s">
        <v>27</v>
      </c>
      <c r="D78" s="190" t="s">
        <v>4</v>
      </c>
      <c r="E78" s="862">
        <f>SUMIFS('2. DADOS DE ENTRADA'!C:C,'2. DADOS DE ENTRADA'!A:A,'6. COLETA SELETIVA'!A78,'2. DADOS DE ENTRADA'!B:B,'6. COLETA SELETIVA'!$C$66)</f>
        <v>52</v>
      </c>
      <c r="F78" s="863">
        <f>'3. PREÇOS UNITÁRIOS'!D26</f>
        <v>0</v>
      </c>
      <c r="G78" s="863">
        <f>E78*F78</f>
        <v>0</v>
      </c>
      <c r="H78" s="357"/>
    </row>
    <row r="79" spans="1:8" s="192" customFormat="1" x14ac:dyDescent="0.2">
      <c r="A79" s="379"/>
      <c r="B79" s="335" t="str">
        <f>IF(C79="","",$B$66&amp;"."&amp;COUNT($F$67:F79))</f>
        <v>2.2.9</v>
      </c>
      <c r="C79" s="192" t="s">
        <v>397</v>
      </c>
      <c r="D79" s="190" t="s">
        <v>25</v>
      </c>
      <c r="E79" s="862">
        <f>E77</f>
        <v>0.2</v>
      </c>
      <c r="F79" s="863">
        <f>G78</f>
        <v>0</v>
      </c>
      <c r="G79" s="863">
        <f>F79*E79</f>
        <v>0</v>
      </c>
      <c r="H79" s="357"/>
    </row>
    <row r="80" spans="1:8" s="192" customFormat="1" x14ac:dyDescent="0.2">
      <c r="A80" s="192" t="s">
        <v>104</v>
      </c>
      <c r="B80" s="335" t="str">
        <f>IF(C80="","",$B$66&amp;"."&amp;COUNT($F$67:F80))</f>
        <v>2.2.10</v>
      </c>
      <c r="C80" s="192" t="s">
        <v>29</v>
      </c>
      <c r="D80" s="190" t="s">
        <v>4</v>
      </c>
      <c r="E80" s="862">
        <f>SUMIFS('2. DADOS DE ENTRADA'!C:C,'2. DADOS DE ENTRADA'!A:A,'6. COLETA SELETIVA'!A80,'2. DADOS DE ENTRADA'!B:B,'6. COLETA SELETIVA'!$C$66)</f>
        <v>26</v>
      </c>
      <c r="F80" s="863">
        <f>'3. PREÇOS UNITÁRIOS'!D27/'6. COLETA SELETIVA'!E80</f>
        <v>12.594230769230769</v>
      </c>
      <c r="G80" s="863">
        <f>E80*F80</f>
        <v>327.45</v>
      </c>
      <c r="H80" s="357"/>
    </row>
    <row r="81" spans="1:9" x14ac:dyDescent="0.2">
      <c r="A81" s="189"/>
      <c r="B81" s="335" t="str">
        <f>IF(C81="","",$B$66&amp;"."&amp;COUNT($F$67:F81))</f>
        <v>2.2.11</v>
      </c>
      <c r="C81" s="192" t="s">
        <v>397</v>
      </c>
      <c r="D81" s="190" t="s">
        <v>25</v>
      </c>
      <c r="E81" s="862">
        <f>E67</f>
        <v>0.2</v>
      </c>
      <c r="F81" s="863">
        <f>G80</f>
        <v>327.45</v>
      </c>
      <c r="G81" s="863">
        <f>E81*F81</f>
        <v>65.489999999999995</v>
      </c>
      <c r="H81" s="357"/>
    </row>
    <row r="82" spans="1:9" x14ac:dyDescent="0.2">
      <c r="A82" s="189"/>
      <c r="B82" s="335" t="str">
        <f>IF(C82="","",$B$66&amp;"."&amp;COUNT($F$67:F82))</f>
        <v>2.2.12</v>
      </c>
      <c r="C82" s="192" t="s">
        <v>638</v>
      </c>
      <c r="D82" s="190" t="s">
        <v>25</v>
      </c>
      <c r="E82" s="862">
        <f>E81</f>
        <v>0.2</v>
      </c>
      <c r="F82" s="863">
        <f>'3. PREÇOS UNITÁRIOS'!D29</f>
        <v>40</v>
      </c>
      <c r="G82" s="863">
        <f>F82*E82</f>
        <v>8</v>
      </c>
      <c r="H82" s="357"/>
    </row>
    <row r="83" spans="1:9" x14ac:dyDescent="0.2">
      <c r="B83" s="445"/>
      <c r="C83" s="278"/>
      <c r="D83" s="278"/>
      <c r="E83" s="873"/>
      <c r="F83" s="874" t="s">
        <v>287</v>
      </c>
      <c r="G83" s="875">
        <f>G77+G79+G81+G82</f>
        <v>823.53320711249603</v>
      </c>
      <c r="H83" s="357"/>
    </row>
    <row r="84" spans="1:9" x14ac:dyDescent="0.2">
      <c r="B84" s="446"/>
      <c r="C84" s="447"/>
      <c r="D84" s="447"/>
      <c r="E84" s="1051"/>
      <c r="F84" s="1052"/>
      <c r="G84" s="1053"/>
      <c r="H84" s="357"/>
    </row>
    <row r="85" spans="1:9" ht="15" x14ac:dyDescent="0.2">
      <c r="B85" s="448"/>
      <c r="C85" s="441"/>
      <c r="D85" s="441"/>
      <c r="E85" s="1048" t="s">
        <v>37</v>
      </c>
      <c r="F85" s="1048"/>
      <c r="G85" s="1048">
        <f>G83+G64</f>
        <v>823.53320711249603</v>
      </c>
      <c r="H85" s="357"/>
    </row>
    <row r="86" spans="1:9" x14ac:dyDescent="0.2">
      <c r="B86" s="335"/>
      <c r="D86" s="190"/>
      <c r="E86" s="857"/>
      <c r="F86" s="901"/>
      <c r="G86" s="901"/>
      <c r="H86" s="357"/>
    </row>
    <row r="87" spans="1:9" ht="15" x14ac:dyDescent="0.25">
      <c r="B87" s="449" t="s">
        <v>17</v>
      </c>
      <c r="C87" s="450" t="s">
        <v>39</v>
      </c>
      <c r="D87" s="451"/>
      <c r="E87" s="1054"/>
      <c r="F87" s="1054"/>
      <c r="G87" s="1054"/>
    </row>
    <row r="88" spans="1:9" ht="15" x14ac:dyDescent="0.2">
      <c r="B88" s="452"/>
      <c r="C88" s="453"/>
      <c r="D88" s="454"/>
      <c r="E88" s="1055"/>
      <c r="F88" s="1055"/>
      <c r="G88" s="1055"/>
    </row>
    <row r="89" spans="1:9" x14ac:dyDescent="0.2">
      <c r="B89" s="268" t="s">
        <v>7</v>
      </c>
      <c r="C89" s="269" t="s">
        <v>8</v>
      </c>
      <c r="D89" s="269" t="s">
        <v>9</v>
      </c>
      <c r="E89" s="938" t="s">
        <v>10</v>
      </c>
      <c r="F89" s="938" t="s">
        <v>11</v>
      </c>
      <c r="G89" s="938" t="s">
        <v>12</v>
      </c>
      <c r="H89" s="190"/>
    </row>
    <row r="90" spans="1:9" ht="28.5" x14ac:dyDescent="0.2">
      <c r="B90" s="271" t="s">
        <v>109</v>
      </c>
      <c r="C90" s="272" t="s">
        <v>40</v>
      </c>
      <c r="D90" s="273"/>
      <c r="E90" s="879"/>
      <c r="F90" s="879"/>
      <c r="G90" s="879"/>
    </row>
    <row r="91" spans="1:9" x14ac:dyDescent="0.2">
      <c r="B91" s="335"/>
      <c r="E91" s="881"/>
      <c r="F91" s="881"/>
      <c r="G91" s="881"/>
    </row>
    <row r="92" spans="1:9" x14ac:dyDescent="0.2">
      <c r="B92" s="424" t="s">
        <v>108</v>
      </c>
      <c r="C92" s="272" t="s">
        <v>97</v>
      </c>
      <c r="D92" s="273"/>
      <c r="E92" s="879"/>
      <c r="F92" s="879"/>
      <c r="G92" s="879"/>
    </row>
    <row r="93" spans="1:9" x14ac:dyDescent="0.2">
      <c r="B93" s="335" t="s">
        <v>289</v>
      </c>
      <c r="C93" s="363" t="s">
        <v>41</v>
      </c>
      <c r="D93" s="364" t="s">
        <v>4</v>
      </c>
      <c r="E93" s="922">
        <f t="array" ref="E93:E99">TRANSPOSE('2. DADOS DE ENTRADA'!C177:I177)</f>
        <v>0.16915000000000002</v>
      </c>
      <c r="F93" s="923">
        <f>'3. PREÇOS UNITÁRIOS'!D10</f>
        <v>81.787999999999997</v>
      </c>
      <c r="G93" s="923">
        <f>F93*E93</f>
        <v>13.834440200000001</v>
      </c>
      <c r="H93" s="189"/>
      <c r="I93" s="381"/>
    </row>
    <row r="94" spans="1:9" x14ac:dyDescent="0.2">
      <c r="B94" s="335" t="s">
        <v>372</v>
      </c>
      <c r="C94" s="192" t="s">
        <v>42</v>
      </c>
      <c r="D94" s="190" t="s">
        <v>4</v>
      </c>
      <c r="E94" s="924">
        <v>0.16915000000000002</v>
      </c>
      <c r="F94" s="858">
        <f>'3. PREÇOS UNITÁRIOS'!D11</f>
        <v>35.25</v>
      </c>
      <c r="G94" s="858">
        <f t="shared" ref="G94:G99" si="2">F94*E94</f>
        <v>5.9625375000000007</v>
      </c>
      <c r="H94" s="189"/>
      <c r="I94" s="381"/>
    </row>
    <row r="95" spans="1:9" x14ac:dyDescent="0.2">
      <c r="B95" s="335" t="s">
        <v>373</v>
      </c>
      <c r="C95" s="192" t="s">
        <v>43</v>
      </c>
      <c r="D95" s="190" t="s">
        <v>4</v>
      </c>
      <c r="E95" s="924">
        <v>0.16915000000000002</v>
      </c>
      <c r="F95" s="858">
        <f>'3. PREÇOS UNITÁRIOS'!D12</f>
        <v>70.696666666666673</v>
      </c>
      <c r="G95" s="858">
        <f t="shared" si="2"/>
        <v>11.958341166666669</v>
      </c>
      <c r="H95" s="189"/>
      <c r="I95" s="381"/>
    </row>
    <row r="96" spans="1:9" x14ac:dyDescent="0.2">
      <c r="B96" s="335" t="s">
        <v>374</v>
      </c>
      <c r="C96" s="192" t="s">
        <v>46</v>
      </c>
      <c r="D96" s="190" t="s">
        <v>4</v>
      </c>
      <c r="E96" s="924">
        <v>8.4575000000000011E-2</v>
      </c>
      <c r="F96" s="858">
        <f>'3. PREÇOS UNITÁRIOS'!D13</f>
        <v>13.563333333333333</v>
      </c>
      <c r="G96" s="858">
        <f t="shared" si="2"/>
        <v>1.1471189166666667</v>
      </c>
      <c r="H96" s="189"/>
      <c r="I96" s="381"/>
    </row>
    <row r="97" spans="1:9" x14ac:dyDescent="0.2">
      <c r="B97" s="335" t="s">
        <v>375</v>
      </c>
      <c r="C97" s="189" t="s">
        <v>84</v>
      </c>
      <c r="D97" s="190" t="s">
        <v>4</v>
      </c>
      <c r="E97" s="924">
        <v>0</v>
      </c>
      <c r="F97" s="858">
        <f>'3. PREÇOS UNITÁRIOS'!D15</f>
        <v>98.023333333333326</v>
      </c>
      <c r="G97" s="858">
        <f t="shared" si="2"/>
        <v>0</v>
      </c>
      <c r="H97" s="189"/>
      <c r="I97" s="381"/>
    </row>
    <row r="98" spans="1:9" x14ac:dyDescent="0.2">
      <c r="B98" s="335" t="s">
        <v>376</v>
      </c>
      <c r="C98" s="192" t="s">
        <v>116</v>
      </c>
      <c r="D98" s="190" t="s">
        <v>4</v>
      </c>
      <c r="E98" s="924">
        <v>0.11163900000000002</v>
      </c>
      <c r="F98" s="858">
        <f>'3. PREÇOS UNITÁRIOS'!D17</f>
        <v>6.7633333333333328</v>
      </c>
      <c r="G98" s="858">
        <f t="shared" si="2"/>
        <v>0.75505177000000001</v>
      </c>
      <c r="H98" s="189"/>
      <c r="I98" s="381"/>
    </row>
    <row r="99" spans="1:9" x14ac:dyDescent="0.2">
      <c r="B99" s="335" t="s">
        <v>377</v>
      </c>
      <c r="C99" s="192" t="s">
        <v>117</v>
      </c>
      <c r="D99" s="190" t="s">
        <v>4</v>
      </c>
      <c r="E99" s="924">
        <v>0.33830000000000005</v>
      </c>
      <c r="F99" s="858">
        <f>'3. PREÇOS UNITÁRIOS'!D18</f>
        <v>26.297499999999999</v>
      </c>
      <c r="G99" s="858">
        <f t="shared" si="2"/>
        <v>8.8964442500000018</v>
      </c>
      <c r="H99" s="189"/>
      <c r="I99" s="381"/>
    </row>
    <row r="100" spans="1:9" x14ac:dyDescent="0.2">
      <c r="A100" s="445"/>
      <c r="B100" s="455"/>
      <c r="C100" s="311"/>
      <c r="D100" s="311"/>
      <c r="E100" s="976"/>
      <c r="F100" s="866" t="s">
        <v>36</v>
      </c>
      <c r="G100" s="867">
        <f>SUM(G93:G99)</f>
        <v>42.553933803333337</v>
      </c>
      <c r="H100" s="357"/>
      <c r="I100" s="381"/>
    </row>
    <row r="101" spans="1:9" x14ac:dyDescent="0.2">
      <c r="B101" s="335"/>
      <c r="E101" s="881"/>
      <c r="F101" s="881"/>
      <c r="G101" s="881"/>
      <c r="I101" s="381"/>
    </row>
    <row r="102" spans="1:9" x14ac:dyDescent="0.2">
      <c r="B102" s="424" t="s">
        <v>75</v>
      </c>
      <c r="C102" s="272" t="s">
        <v>98</v>
      </c>
      <c r="D102" s="273"/>
      <c r="E102" s="879"/>
      <c r="F102" s="879"/>
      <c r="G102" s="879"/>
      <c r="I102" s="381"/>
    </row>
    <row r="103" spans="1:9" x14ac:dyDescent="0.2">
      <c r="B103" s="335" t="s">
        <v>290</v>
      </c>
      <c r="C103" s="363" t="s">
        <v>41</v>
      </c>
      <c r="D103" s="364" t="s">
        <v>4</v>
      </c>
      <c r="E103" s="922">
        <f t="array" ref="E103:E110">TRANSPOSE('2. DADOS DE ENTRADA'!C193:J193)</f>
        <v>6.6666666666666666E-2</v>
      </c>
      <c r="F103" s="926">
        <f>'3. PREÇOS UNITÁRIOS'!D10</f>
        <v>81.787999999999997</v>
      </c>
      <c r="G103" s="923">
        <f>E103*F103</f>
        <v>5.4525333333333332</v>
      </c>
      <c r="H103" s="189"/>
      <c r="I103" s="381"/>
    </row>
    <row r="104" spans="1:9" x14ac:dyDescent="0.2">
      <c r="B104" s="335" t="s">
        <v>378</v>
      </c>
      <c r="C104" s="192" t="s">
        <v>42</v>
      </c>
      <c r="D104" s="190" t="s">
        <v>4</v>
      </c>
      <c r="E104" s="924">
        <v>6.6666666666666666E-2</v>
      </c>
      <c r="F104" s="858">
        <f>'3. PREÇOS UNITÁRIOS'!D11</f>
        <v>35.25</v>
      </c>
      <c r="G104" s="858">
        <f t="shared" ref="G104:G110" si="3">E104*F104</f>
        <v>2.35</v>
      </c>
      <c r="H104" s="189"/>
      <c r="I104" s="381"/>
    </row>
    <row r="105" spans="1:9" x14ac:dyDescent="0.2">
      <c r="B105" s="335" t="s">
        <v>379</v>
      </c>
      <c r="C105" s="192" t="s">
        <v>43</v>
      </c>
      <c r="D105" s="190" t="s">
        <v>4</v>
      </c>
      <c r="E105" s="924">
        <v>6.6666666666666666E-2</v>
      </c>
      <c r="F105" s="927">
        <f>'3. PREÇOS UNITÁRIOS'!D12</f>
        <v>70.696666666666673</v>
      </c>
      <c r="G105" s="858">
        <f t="shared" si="3"/>
        <v>4.713111111111111</v>
      </c>
      <c r="H105" s="189"/>
      <c r="I105" s="381"/>
    </row>
    <row r="106" spans="1:9" x14ac:dyDescent="0.2">
      <c r="B106" s="335" t="s">
        <v>380</v>
      </c>
      <c r="C106" s="192" t="s">
        <v>46</v>
      </c>
      <c r="D106" s="190" t="s">
        <v>4</v>
      </c>
      <c r="E106" s="924">
        <v>3.3333333333333333E-2</v>
      </c>
      <c r="F106" s="927">
        <f>'3. PREÇOS UNITÁRIOS'!D13</f>
        <v>13.563333333333333</v>
      </c>
      <c r="G106" s="858">
        <f t="shared" si="3"/>
        <v>0.45211111111111107</v>
      </c>
      <c r="H106" s="189"/>
      <c r="I106" s="381"/>
    </row>
    <row r="107" spans="1:9" x14ac:dyDescent="0.2">
      <c r="B107" s="335" t="s">
        <v>381</v>
      </c>
      <c r="C107" s="192" t="s">
        <v>44</v>
      </c>
      <c r="D107" s="190" t="s">
        <v>4</v>
      </c>
      <c r="E107" s="924">
        <v>3.3333333333333333E-2</v>
      </c>
      <c r="F107" s="927">
        <f>'3. PREÇOS UNITÁRIOS'!D14</f>
        <v>23.113333333333333</v>
      </c>
      <c r="G107" s="858">
        <f t="shared" si="3"/>
        <v>0.77044444444444449</v>
      </c>
      <c r="H107" s="189"/>
      <c r="I107" s="381"/>
    </row>
    <row r="108" spans="1:9" x14ac:dyDescent="0.2">
      <c r="B108" s="335" t="s">
        <v>382</v>
      </c>
      <c r="C108" s="192" t="s">
        <v>84</v>
      </c>
      <c r="D108" s="190" t="s">
        <v>4</v>
      </c>
      <c r="E108" s="924">
        <v>1.6666666666666666E-2</v>
      </c>
      <c r="F108" s="927">
        <f>'3. PREÇOS UNITÁRIOS'!D15</f>
        <v>98.023333333333326</v>
      </c>
      <c r="G108" s="858">
        <f t="shared" si="3"/>
        <v>1.6337222222222221</v>
      </c>
      <c r="H108" s="189"/>
      <c r="I108" s="381"/>
    </row>
    <row r="109" spans="1:9" x14ac:dyDescent="0.2">
      <c r="B109" s="335" t="s">
        <v>383</v>
      </c>
      <c r="C109" s="192" t="s">
        <v>116</v>
      </c>
      <c r="D109" s="190" t="s">
        <v>4</v>
      </c>
      <c r="E109" s="924">
        <v>0.1</v>
      </c>
      <c r="F109" s="927">
        <f>'3. PREÇOS UNITÁRIOS'!D17</f>
        <v>6.7633333333333328</v>
      </c>
      <c r="G109" s="858">
        <f t="shared" si="3"/>
        <v>0.67633333333333334</v>
      </c>
      <c r="H109" s="189"/>
      <c r="I109" s="381"/>
    </row>
    <row r="110" spans="1:9" x14ac:dyDescent="0.2">
      <c r="B110" s="335" t="s">
        <v>384</v>
      </c>
      <c r="C110" s="192" t="s">
        <v>117</v>
      </c>
      <c r="D110" s="190" t="s">
        <v>4</v>
      </c>
      <c r="E110" s="924">
        <v>0.2</v>
      </c>
      <c r="F110" s="927">
        <f>'3. PREÇOS UNITÁRIOS'!D18</f>
        <v>26.297499999999999</v>
      </c>
      <c r="G110" s="858">
        <f t="shared" si="3"/>
        <v>5.2595000000000001</v>
      </c>
      <c r="H110" s="189"/>
      <c r="I110" s="381"/>
    </row>
    <row r="111" spans="1:9" x14ac:dyDescent="0.2">
      <c r="B111" s="455"/>
      <c r="C111" s="311"/>
      <c r="D111" s="311"/>
      <c r="E111" s="976"/>
      <c r="F111" s="866" t="s">
        <v>36</v>
      </c>
      <c r="G111" s="867">
        <f>SUM(G103:G110)</f>
        <v>21.307755555555556</v>
      </c>
      <c r="H111" s="357"/>
      <c r="I111" s="381"/>
    </row>
    <row r="112" spans="1:9" x14ac:dyDescent="0.2">
      <c r="B112" s="335"/>
      <c r="E112" s="924"/>
      <c r="F112" s="929"/>
      <c r="G112" s="858"/>
      <c r="H112" s="357"/>
      <c r="I112" s="381"/>
    </row>
    <row r="113" spans="2:14" x14ac:dyDescent="0.2">
      <c r="B113" s="424" t="s">
        <v>107</v>
      </c>
      <c r="C113" s="272" t="s">
        <v>45</v>
      </c>
      <c r="D113" s="273"/>
      <c r="E113" s="879"/>
      <c r="F113" s="879"/>
      <c r="G113" s="879"/>
      <c r="H113" s="357"/>
      <c r="I113" s="381"/>
    </row>
    <row r="114" spans="2:14" x14ac:dyDescent="0.2">
      <c r="B114" s="335" t="s">
        <v>291</v>
      </c>
      <c r="C114" s="363" t="s">
        <v>41</v>
      </c>
      <c r="D114" s="364" t="s">
        <v>4</v>
      </c>
      <c r="E114" s="922">
        <f t="array" ref="E114:E121">TRANSPOSE('2. DADOS DE ENTRADA'!C208:J208)</f>
        <v>0.44999999999999996</v>
      </c>
      <c r="F114" s="926">
        <f>'3. PREÇOS UNITÁRIOS'!D10</f>
        <v>81.787999999999997</v>
      </c>
      <c r="G114" s="923">
        <f>E114*F114</f>
        <v>36.804599999999994</v>
      </c>
      <c r="H114" s="189"/>
      <c r="I114" s="381"/>
    </row>
    <row r="115" spans="2:14" x14ac:dyDescent="0.2">
      <c r="B115" s="335" t="s">
        <v>385</v>
      </c>
      <c r="C115" s="192" t="s">
        <v>42</v>
      </c>
      <c r="D115" s="190" t="s">
        <v>4</v>
      </c>
      <c r="E115" s="924">
        <v>0.44999999999999996</v>
      </c>
      <c r="F115" s="858">
        <f>'3. PREÇOS UNITÁRIOS'!D11</f>
        <v>35.25</v>
      </c>
      <c r="G115" s="858">
        <f t="shared" ref="G115:G121" si="4">E115*F115</f>
        <v>15.862499999999999</v>
      </c>
      <c r="H115" s="189"/>
      <c r="I115" s="381"/>
    </row>
    <row r="116" spans="2:14" x14ac:dyDescent="0.2">
      <c r="B116" s="335" t="s">
        <v>386</v>
      </c>
      <c r="C116" s="192" t="s">
        <v>115</v>
      </c>
      <c r="D116" s="190" t="s">
        <v>4</v>
      </c>
      <c r="E116" s="924">
        <v>0.44999999999999996</v>
      </c>
      <c r="F116" s="927">
        <f>'3. PREÇOS UNITÁRIOS'!D12</f>
        <v>70.696666666666673</v>
      </c>
      <c r="G116" s="858">
        <f t="shared" si="4"/>
        <v>31.813500000000001</v>
      </c>
      <c r="H116" s="189"/>
      <c r="I116" s="381"/>
    </row>
    <row r="117" spans="2:14" x14ac:dyDescent="0.2">
      <c r="B117" s="335" t="s">
        <v>387</v>
      </c>
      <c r="C117" s="192" t="s">
        <v>46</v>
      </c>
      <c r="D117" s="190" t="s">
        <v>4</v>
      </c>
      <c r="E117" s="924">
        <v>0.22499999999999998</v>
      </c>
      <c r="F117" s="927">
        <f>'3. PREÇOS UNITÁRIOS'!D13</f>
        <v>13.563333333333333</v>
      </c>
      <c r="G117" s="858">
        <f t="shared" si="4"/>
        <v>3.0517499999999997</v>
      </c>
      <c r="H117" s="189"/>
      <c r="I117" s="381"/>
    </row>
    <row r="118" spans="2:14" x14ac:dyDescent="0.2">
      <c r="B118" s="335" t="s">
        <v>388</v>
      </c>
      <c r="C118" s="192" t="s">
        <v>84</v>
      </c>
      <c r="D118" s="190" t="s">
        <v>4</v>
      </c>
      <c r="E118" s="924">
        <v>0.22499999999999998</v>
      </c>
      <c r="F118" s="927">
        <f>'3. PREÇOS UNITÁRIOS'!D15</f>
        <v>98.023333333333326</v>
      </c>
      <c r="G118" s="858">
        <f t="shared" si="4"/>
        <v>22.055249999999997</v>
      </c>
      <c r="H118" s="189"/>
      <c r="I118" s="381"/>
    </row>
    <row r="119" spans="2:14" x14ac:dyDescent="0.2">
      <c r="B119" s="335" t="s">
        <v>389</v>
      </c>
      <c r="C119" s="192" t="s">
        <v>47</v>
      </c>
      <c r="D119" s="190" t="s">
        <v>4</v>
      </c>
      <c r="E119" s="924">
        <v>1.7999999999999998</v>
      </c>
      <c r="F119" s="927">
        <f>'3. PREÇOS UNITÁRIOS'!D16</f>
        <v>14.2325</v>
      </c>
      <c r="G119" s="858">
        <f t="shared" si="4"/>
        <v>25.618499999999997</v>
      </c>
      <c r="H119" s="189"/>
      <c r="I119" s="381"/>
    </row>
    <row r="120" spans="2:14" x14ac:dyDescent="0.2">
      <c r="B120" s="335" t="s">
        <v>390</v>
      </c>
      <c r="C120" s="192" t="s">
        <v>116</v>
      </c>
      <c r="D120" s="190" t="s">
        <v>4</v>
      </c>
      <c r="E120" s="924">
        <v>0.44999999999999996</v>
      </c>
      <c r="F120" s="927">
        <f>'3. PREÇOS UNITÁRIOS'!D17</f>
        <v>6.7633333333333328</v>
      </c>
      <c r="G120" s="858">
        <f t="shared" si="4"/>
        <v>3.0434999999999994</v>
      </c>
      <c r="H120" s="189"/>
      <c r="I120" s="381"/>
    </row>
    <row r="121" spans="2:14" x14ac:dyDescent="0.2">
      <c r="B121" s="335" t="s">
        <v>391</v>
      </c>
      <c r="C121" s="192" t="s">
        <v>117</v>
      </c>
      <c r="D121" s="190" t="s">
        <v>4</v>
      </c>
      <c r="E121" s="924">
        <v>0.89999999999999991</v>
      </c>
      <c r="F121" s="927">
        <f>'3. PREÇOS UNITÁRIOS'!D18</f>
        <v>26.297499999999999</v>
      </c>
      <c r="G121" s="858">
        <f t="shared" si="4"/>
        <v>23.667749999999998</v>
      </c>
      <c r="H121" s="189"/>
      <c r="I121" s="381"/>
    </row>
    <row r="122" spans="2:14" x14ac:dyDescent="0.2">
      <c r="B122" s="455"/>
      <c r="C122" s="311"/>
      <c r="D122" s="311"/>
      <c r="E122" s="976"/>
      <c r="F122" s="866" t="s">
        <v>36</v>
      </c>
      <c r="G122" s="867">
        <f>SUM(G114:G121)</f>
        <v>161.91735</v>
      </c>
      <c r="H122" s="357"/>
    </row>
    <row r="123" spans="2:14" x14ac:dyDescent="0.2">
      <c r="B123" s="456"/>
      <c r="C123" s="447"/>
      <c r="D123" s="447"/>
      <c r="E123" s="1051"/>
      <c r="F123" s="1052"/>
      <c r="G123" s="1053"/>
      <c r="H123" s="357"/>
    </row>
    <row r="124" spans="2:14" ht="15" x14ac:dyDescent="0.2">
      <c r="B124" s="448"/>
      <c r="C124" s="441"/>
      <c r="D124" s="441"/>
      <c r="E124" s="1048" t="s">
        <v>292</v>
      </c>
      <c r="F124" s="1048"/>
      <c r="G124" s="1048">
        <f>G122+G111+G100</f>
        <v>225.77903935888889</v>
      </c>
    </row>
    <row r="125" spans="2:14" s="192" customFormat="1" ht="15" x14ac:dyDescent="0.2">
      <c r="B125" s="457"/>
      <c r="C125" s="458"/>
      <c r="D125" s="458"/>
      <c r="E125" s="1056"/>
      <c r="F125" s="1056"/>
      <c r="G125" s="1056"/>
    </row>
    <row r="126" spans="2:14" s="192" customFormat="1" ht="15" x14ac:dyDescent="0.2">
      <c r="B126" s="448"/>
      <c r="C126" s="441"/>
      <c r="D126" s="441"/>
      <c r="E126" s="1048" t="s">
        <v>620</v>
      </c>
      <c r="F126" s="1048"/>
      <c r="G126" s="1048">
        <f>G85+G43+G124</f>
        <v>6558.7341765274323</v>
      </c>
    </row>
    <row r="127" spans="2:14" s="192" customFormat="1" ht="15" x14ac:dyDescent="0.2">
      <c r="B127" s="457"/>
      <c r="C127" s="458"/>
      <c r="D127" s="458"/>
      <c r="E127" s="1056"/>
      <c r="F127" s="1056"/>
      <c r="G127" s="1056"/>
    </row>
    <row r="128" spans="2:14" s="192" customFormat="1" x14ac:dyDescent="0.2">
      <c r="B128" s="459" t="s">
        <v>38</v>
      </c>
      <c r="C128" s="460" t="s">
        <v>6</v>
      </c>
      <c r="D128" s="461"/>
      <c r="E128" s="1057"/>
      <c r="F128" s="1057"/>
      <c r="G128" s="1057"/>
      <c r="I128" s="189"/>
      <c r="J128" s="189"/>
      <c r="K128" s="189"/>
      <c r="L128" s="189"/>
      <c r="M128" s="189"/>
      <c r="N128" s="189"/>
    </row>
    <row r="129" spans="1:14" s="192" customFormat="1" ht="15" x14ac:dyDescent="0.2">
      <c r="B129" s="452"/>
      <c r="C129" s="453"/>
      <c r="D129" s="454"/>
      <c r="E129" s="1055"/>
      <c r="F129" s="1055"/>
      <c r="G129" s="1055"/>
    </row>
    <row r="130" spans="1:14" s="192" customFormat="1" x14ac:dyDescent="0.2">
      <c r="B130" s="268" t="s">
        <v>7</v>
      </c>
      <c r="C130" s="269" t="s">
        <v>8</v>
      </c>
      <c r="D130" s="269" t="s">
        <v>9</v>
      </c>
      <c r="E130" s="938" t="s">
        <v>10</v>
      </c>
      <c r="F130" s="938" t="s">
        <v>11</v>
      </c>
      <c r="G130" s="938" t="s">
        <v>12</v>
      </c>
      <c r="I130" s="189"/>
      <c r="J130" s="189"/>
      <c r="K130" s="189"/>
      <c r="L130" s="189"/>
      <c r="M130" s="189"/>
      <c r="N130" s="189"/>
    </row>
    <row r="131" spans="1:14" s="192" customFormat="1" x14ac:dyDescent="0.2">
      <c r="B131" s="271" t="s">
        <v>95</v>
      </c>
      <c r="C131" s="272" t="s">
        <v>13</v>
      </c>
      <c r="D131" s="273"/>
      <c r="E131" s="879"/>
      <c r="F131" s="879"/>
      <c r="G131" s="879"/>
      <c r="I131" s="189"/>
      <c r="J131" s="189"/>
      <c r="K131" s="189"/>
      <c r="L131" s="189"/>
      <c r="M131" s="189"/>
      <c r="N131" s="189"/>
    </row>
    <row r="132" spans="1:14" s="192" customFormat="1" ht="26.65" customHeight="1" x14ac:dyDescent="0.2">
      <c r="A132" s="192" t="s">
        <v>275</v>
      </c>
      <c r="B132" s="375" t="str">
        <f>IF(C132="","",$B$131&amp;"."&amp;COUNT($F$132:F132))</f>
        <v>4.1.1</v>
      </c>
      <c r="C132" s="382" t="str">
        <f>'2. DADOS DE ENTRADA'!B216</f>
        <v>Caminhão para caçamba coletora compactadora com capacidade mínima de 15 m³ -  Operando em 1 turno</v>
      </c>
      <c r="D132" s="203" t="s">
        <v>4</v>
      </c>
      <c r="E132" s="940">
        <f>SUMIFS('2. DADOS DE ENTRADA'!G:G,'2. DADOS DE ENTRADA'!A:A,'6. COLETA SELETIVA'!A132,'2. DADOS DE ENTRADA'!B:B,'6. COLETA SELETIVA'!C132)</f>
        <v>0.3</v>
      </c>
      <c r="F132" s="941">
        <f>'3. PREÇOS UNITÁRIOS'!D41</f>
        <v>234125</v>
      </c>
      <c r="G132" s="941">
        <f t="shared" ref="G132:G139" si="5">E132*F132</f>
        <v>70237.5</v>
      </c>
      <c r="I132" s="189"/>
      <c r="J132" s="189"/>
      <c r="K132" s="189"/>
      <c r="L132" s="189"/>
      <c r="M132" s="189"/>
      <c r="N132" s="189"/>
    </row>
    <row r="133" spans="1:14" s="192" customFormat="1" ht="42.75" x14ac:dyDescent="0.2">
      <c r="A133" s="192" t="s">
        <v>275</v>
      </c>
      <c r="B133" s="375" t="str">
        <f>IF(C133="","",$B$131&amp;"."&amp;COUNT($F$132:F133))</f>
        <v>4.1.2</v>
      </c>
      <c r="C133" s="382" t="str">
        <f>'2. DADOS DE ENTRADA'!B217</f>
        <v xml:space="preserve">Caminhão para caçamba coletora compactadora com capacidade mínima de 15 m³ - Reserva </v>
      </c>
      <c r="D133" s="203" t="s">
        <v>4</v>
      </c>
      <c r="E133" s="940">
        <f>SUMIFS('2. DADOS DE ENTRADA'!G:G,'2. DADOS DE ENTRADA'!A:A,'6. COLETA SELETIVA'!A133,'2. DADOS DE ENTRADA'!B:B,'6. COLETA SELETIVA'!C133)</f>
        <v>0</v>
      </c>
      <c r="F133" s="941">
        <f>'3. PREÇOS UNITÁRIOS'!D41</f>
        <v>234125</v>
      </c>
      <c r="G133" s="941">
        <f t="shared" si="5"/>
        <v>0</v>
      </c>
      <c r="I133" s="189"/>
      <c r="J133" s="189"/>
      <c r="K133" s="189"/>
      <c r="L133" s="189"/>
      <c r="M133" s="189"/>
      <c r="N133" s="189"/>
    </row>
    <row r="134" spans="1:14" s="192" customFormat="1" ht="28.5" x14ac:dyDescent="0.2">
      <c r="A134" s="192" t="s">
        <v>275</v>
      </c>
      <c r="B134" s="375" t="str">
        <f>IF(C134="","",$B$131&amp;"."&amp;COUNT($F$132:F134))</f>
        <v>4.1.3</v>
      </c>
      <c r="C134" s="382" t="str">
        <f>'2. DADOS DE ENTRADA'!B225</f>
        <v>Caçamba compactadora de 15m³ - Operando em 1 turno</v>
      </c>
      <c r="D134" s="193" t="s">
        <v>4</v>
      </c>
      <c r="E134" s="940">
        <f>SUMIFS('2. DADOS DE ENTRADA'!G:G,'2. DADOS DE ENTRADA'!A:A,'6. COLETA SELETIVA'!A134,'2. DADOS DE ENTRADA'!B:B,'6. COLETA SELETIVA'!C134)</f>
        <v>0.3</v>
      </c>
      <c r="F134" s="941">
        <f>'3. PREÇOS UNITÁRIOS'!D36</f>
        <v>81966.28</v>
      </c>
      <c r="G134" s="941">
        <f t="shared" si="5"/>
        <v>24589.883999999998</v>
      </c>
      <c r="I134" s="189"/>
      <c r="J134" s="189"/>
      <c r="K134" s="189"/>
      <c r="L134" s="189"/>
      <c r="M134" s="189"/>
      <c r="N134" s="189"/>
    </row>
    <row r="135" spans="1:14" s="192" customFormat="1" x14ac:dyDescent="0.2">
      <c r="B135" s="375" t="str">
        <f>IF(C135="","",$B$131&amp;"."&amp;COUNT($F$132:F135))</f>
        <v>4.1.4</v>
      </c>
      <c r="C135" s="382" t="str">
        <f>'2. DADOS DE ENTRADA'!B226</f>
        <v xml:space="preserve">Caçamba compactadora de 15m³ - Reserva </v>
      </c>
      <c r="D135" s="193" t="s">
        <v>4</v>
      </c>
      <c r="E135" s="940">
        <f>SUMIFS('2. DADOS DE ENTRADA'!G:G,'2. DADOS DE ENTRADA'!A:A,'6. COLETA SELETIVA'!A133,'2. DADOS DE ENTRADA'!B:B,'6. COLETA SELETIVA'!C135)</f>
        <v>0</v>
      </c>
      <c r="F135" s="941">
        <f>'3. PREÇOS UNITÁRIOS'!D36</f>
        <v>81966.28</v>
      </c>
      <c r="G135" s="941">
        <f t="shared" si="5"/>
        <v>0</v>
      </c>
      <c r="I135" s="189"/>
      <c r="J135" s="189"/>
      <c r="K135" s="189"/>
      <c r="L135" s="189"/>
      <c r="M135" s="189"/>
      <c r="N135" s="189"/>
    </row>
    <row r="136" spans="1:14" s="192" customFormat="1" x14ac:dyDescent="0.2">
      <c r="B136" s="445"/>
      <c r="C136" s="278"/>
      <c r="D136" s="278"/>
      <c r="E136" s="873"/>
      <c r="F136" s="874" t="s">
        <v>36</v>
      </c>
      <c r="G136" s="875">
        <f>SUM(G132:G135)</f>
        <v>94827.383999999991</v>
      </c>
      <c r="I136" s="189"/>
      <c r="J136" s="189"/>
      <c r="K136" s="189"/>
      <c r="L136" s="189"/>
      <c r="M136" s="189"/>
      <c r="N136" s="189"/>
    </row>
    <row r="137" spans="1:14" s="192" customFormat="1" ht="15" x14ac:dyDescent="0.25">
      <c r="B137" s="386"/>
      <c r="C137" s="387"/>
      <c r="D137" s="387"/>
      <c r="E137" s="961"/>
      <c r="F137" s="877"/>
      <c r="G137" s="861"/>
    </row>
    <row r="138" spans="1:14" s="192" customFormat="1" x14ac:dyDescent="0.2">
      <c r="B138" s="459" t="s">
        <v>94</v>
      </c>
      <c r="C138" s="460" t="s">
        <v>360</v>
      </c>
      <c r="D138" s="461"/>
      <c r="E138" s="1057"/>
      <c r="F138" s="1057"/>
      <c r="G138" s="1057"/>
      <c r="I138" s="189"/>
      <c r="J138" s="189"/>
      <c r="K138" s="189"/>
      <c r="L138" s="189"/>
      <c r="M138" s="189"/>
      <c r="N138" s="189"/>
    </row>
    <row r="139" spans="1:14" s="192" customFormat="1" x14ac:dyDescent="0.2">
      <c r="A139" s="192" t="s">
        <v>275</v>
      </c>
      <c r="B139" s="375" t="str">
        <f>IF(C139="","",$B$138&amp;"."&amp;COUNT($F$139:F139))</f>
        <v>4.2.1</v>
      </c>
      <c r="C139" s="189" t="str">
        <f>'2. DADOS DE ENTRADA'!B228</f>
        <v>Veículo de apoio tipo picape.</v>
      </c>
      <c r="D139" s="193" t="s">
        <v>4</v>
      </c>
      <c r="E139" s="946">
        <f>SUMIFS('2. DADOS DE ENTRADA'!G:G,'2. DADOS DE ENTRADA'!A:A,'6. COLETA SELETIVA'!A139,'2. DADOS DE ENTRADA'!B:B,'6. COLETA SELETIVA'!C139)</f>
        <v>0</v>
      </c>
      <c r="F139" s="927">
        <f>'3. PREÇOS UNITÁRIOS'!D38</f>
        <v>0</v>
      </c>
      <c r="G139" s="927">
        <f t="shared" si="5"/>
        <v>0</v>
      </c>
      <c r="I139" s="189"/>
      <c r="J139" s="189"/>
      <c r="K139" s="189"/>
      <c r="L139" s="189"/>
      <c r="M139" s="189"/>
      <c r="N139" s="189"/>
    </row>
    <row r="140" spans="1:14" x14ac:dyDescent="0.2">
      <c r="B140" s="445"/>
      <c r="C140" s="278"/>
      <c r="D140" s="278"/>
      <c r="E140" s="873"/>
      <c r="F140" s="874" t="s">
        <v>36</v>
      </c>
      <c r="G140" s="875">
        <f>SUM(G139:G139)</f>
        <v>0</v>
      </c>
    </row>
    <row r="141" spans="1:14" x14ac:dyDescent="0.2">
      <c r="B141" s="446"/>
      <c r="C141" s="447"/>
      <c r="D141" s="447"/>
      <c r="E141" s="1051"/>
      <c r="F141" s="1052"/>
      <c r="G141" s="1053"/>
    </row>
    <row r="142" spans="1:14" ht="15" x14ac:dyDescent="0.2">
      <c r="B142" s="448"/>
      <c r="C142" s="441"/>
      <c r="D142" s="441" t="s">
        <v>309</v>
      </c>
      <c r="E142" s="1048"/>
      <c r="F142" s="1048"/>
      <c r="G142" s="1048">
        <f>G136+G140</f>
        <v>94827.383999999991</v>
      </c>
      <c r="H142" s="414"/>
    </row>
    <row r="143" spans="1:14" x14ac:dyDescent="0.2">
      <c r="B143" s="335"/>
      <c r="E143" s="881"/>
      <c r="F143" s="881"/>
      <c r="G143" s="881"/>
    </row>
    <row r="144" spans="1:14" x14ac:dyDescent="0.2">
      <c r="B144" s="459" t="s">
        <v>48</v>
      </c>
      <c r="C144" s="460" t="s">
        <v>49</v>
      </c>
      <c r="D144" s="461"/>
      <c r="E144" s="1057"/>
      <c r="F144" s="1057"/>
      <c r="G144" s="1057"/>
      <c r="I144" s="192"/>
      <c r="J144" s="192"/>
      <c r="K144" s="192"/>
      <c r="L144" s="192"/>
    </row>
    <row r="145" spans="2:12" ht="15" x14ac:dyDescent="0.2">
      <c r="B145" s="452"/>
      <c r="C145" s="453"/>
      <c r="D145" s="454"/>
      <c r="E145" s="1055"/>
      <c r="F145" s="1055"/>
      <c r="G145" s="1055"/>
      <c r="I145" s="192"/>
      <c r="J145" s="192"/>
      <c r="K145" s="192"/>
      <c r="L145" s="192"/>
    </row>
    <row r="146" spans="2:12" x14ac:dyDescent="0.2">
      <c r="B146" s="268" t="s">
        <v>7</v>
      </c>
      <c r="C146" s="269" t="s">
        <v>8</v>
      </c>
      <c r="D146" s="269" t="s">
        <v>9</v>
      </c>
      <c r="E146" s="938" t="s">
        <v>10</v>
      </c>
      <c r="F146" s="938" t="s">
        <v>11</v>
      </c>
      <c r="G146" s="938" t="s">
        <v>12</v>
      </c>
      <c r="H146" s="474"/>
      <c r="I146" s="192"/>
      <c r="J146" s="192"/>
      <c r="K146" s="192"/>
      <c r="L146" s="192"/>
    </row>
    <row r="147" spans="2:12" x14ac:dyDescent="0.2">
      <c r="B147" s="271" t="s">
        <v>96</v>
      </c>
      <c r="C147" s="272" t="s">
        <v>101</v>
      </c>
      <c r="D147" s="273"/>
      <c r="E147" s="879"/>
      <c r="F147" s="879"/>
      <c r="G147" s="879"/>
      <c r="I147" s="192"/>
      <c r="J147" s="192"/>
      <c r="K147" s="192"/>
      <c r="L147" s="192"/>
    </row>
    <row r="148" spans="2:12" x14ac:dyDescent="0.2">
      <c r="B148" s="335" t="s">
        <v>99</v>
      </c>
      <c r="C148" s="379" t="s">
        <v>653</v>
      </c>
      <c r="D148" s="190" t="s">
        <v>1</v>
      </c>
      <c r="E148" s="954">
        <f>'2. DADOS DE ENTRADA'!C216</f>
        <v>0.65180000000000005</v>
      </c>
      <c r="F148" s="927">
        <f>(F132*E132)-(E132*6*F186)</f>
        <v>66205.5</v>
      </c>
      <c r="G148" s="927">
        <f>(F148/'2. DADOS DE ENTRADA'!D216)*E148</f>
        <v>359.60620749999998</v>
      </c>
      <c r="H148" s="413"/>
      <c r="I148" s="413"/>
      <c r="J148" s="192"/>
      <c r="K148" s="192"/>
      <c r="L148" s="192"/>
    </row>
    <row r="149" spans="2:12" x14ac:dyDescent="0.2">
      <c r="B149" s="335" t="s">
        <v>73</v>
      </c>
      <c r="C149" s="379" t="s">
        <v>306</v>
      </c>
      <c r="D149" s="190" t="s">
        <v>1</v>
      </c>
      <c r="E149" s="954">
        <f>'2. DADOS DE ENTRADA'!C217</f>
        <v>0.65180000000000005</v>
      </c>
      <c r="F149" s="927">
        <f>(F133*E133)-(E133*6*F186)</f>
        <v>0</v>
      </c>
      <c r="G149" s="927">
        <f>(F149/'2. DADOS DE ENTRADA'!D217)*E149</f>
        <v>0</v>
      </c>
      <c r="H149" s="413"/>
      <c r="I149" s="475"/>
      <c r="J149" s="192"/>
      <c r="K149" s="192"/>
      <c r="L149" s="192"/>
    </row>
    <row r="150" spans="2:12" x14ac:dyDescent="0.2">
      <c r="B150" s="335" t="s">
        <v>78</v>
      </c>
      <c r="C150" s="379" t="s">
        <v>652</v>
      </c>
      <c r="D150" s="190" t="s">
        <v>1</v>
      </c>
      <c r="E150" s="954">
        <f>'2. DADOS DE ENTRADA'!C225</f>
        <v>0.65180000000000005</v>
      </c>
      <c r="F150" s="927">
        <f>F134*E134</f>
        <v>24589.883999999998</v>
      </c>
      <c r="G150" s="927">
        <f>(F150/'2. DADOS DE ENTRADA'!D225)*'6. COLETA SELETIVA'!E150</f>
        <v>133.56405326000001</v>
      </c>
      <c r="H150" s="413"/>
      <c r="I150" s="413"/>
      <c r="J150" s="192"/>
      <c r="K150" s="192"/>
      <c r="L150" s="192"/>
    </row>
    <row r="151" spans="2:12" x14ac:dyDescent="0.2">
      <c r="B151" s="335" t="s">
        <v>361</v>
      </c>
      <c r="C151" s="379" t="s">
        <v>308</v>
      </c>
      <c r="D151" s="190" t="s">
        <v>1</v>
      </c>
      <c r="E151" s="954">
        <f>'2. DADOS DE ENTRADA'!C217</f>
        <v>0.65180000000000005</v>
      </c>
      <c r="F151" s="927">
        <f>F135*E135</f>
        <v>0</v>
      </c>
      <c r="G151" s="927">
        <f>(F151/'2. DADOS DE ENTRADA'!D226)*'6. COLETA SELETIVA'!E151</f>
        <v>0</v>
      </c>
      <c r="H151" s="413"/>
      <c r="I151" s="224"/>
    </row>
    <row r="152" spans="2:12" x14ac:dyDescent="0.2">
      <c r="B152" s="445"/>
      <c r="C152" s="278"/>
      <c r="D152" s="278"/>
      <c r="E152" s="873"/>
      <c r="F152" s="874" t="s">
        <v>36</v>
      </c>
      <c r="G152" s="875">
        <f>SUM(G148:G151)</f>
        <v>493.17026076000002</v>
      </c>
      <c r="H152" s="413"/>
      <c r="I152" s="224"/>
    </row>
    <row r="153" spans="2:12" s="192" customFormat="1" ht="15" x14ac:dyDescent="0.25">
      <c r="B153" s="386"/>
      <c r="C153" s="387"/>
      <c r="D153" s="387"/>
      <c r="E153" s="961"/>
      <c r="F153" s="877"/>
      <c r="G153" s="861"/>
      <c r="H153" s="413"/>
      <c r="I153" s="413"/>
    </row>
    <row r="154" spans="2:12" x14ac:dyDescent="0.2">
      <c r="B154" s="271" t="s">
        <v>125</v>
      </c>
      <c r="C154" s="272" t="s">
        <v>51</v>
      </c>
      <c r="D154" s="273"/>
      <c r="E154" s="879"/>
      <c r="F154" s="879"/>
      <c r="G154" s="879"/>
    </row>
    <row r="155" spans="2:12" s="192" customFormat="1" x14ac:dyDescent="0.2">
      <c r="B155" s="389" t="s">
        <v>368</v>
      </c>
      <c r="C155" s="363" t="s">
        <v>635</v>
      </c>
      <c r="D155" s="364" t="s">
        <v>1</v>
      </c>
      <c r="E155" s="963">
        <f>'2. DADOS DE ENTRADA'!C228</f>
        <v>0.65180000000000005</v>
      </c>
      <c r="F155" s="926">
        <f>(E139*F139)-(E139*4*F197)</f>
        <v>0</v>
      </c>
      <c r="G155" s="926">
        <f>(F155/'2. DADOS DE ENTRADA'!D228)*E155</f>
        <v>0</v>
      </c>
      <c r="H155" s="413"/>
      <c r="I155" s="413"/>
    </row>
    <row r="156" spans="2:12" x14ac:dyDescent="0.2">
      <c r="B156" s="445"/>
      <c r="C156" s="278"/>
      <c r="D156" s="278"/>
      <c r="E156" s="873"/>
      <c r="F156" s="874" t="s">
        <v>36</v>
      </c>
      <c r="G156" s="875">
        <f>SUM(G155:G155)</f>
        <v>0</v>
      </c>
      <c r="H156" s="391"/>
      <c r="I156" s="224"/>
    </row>
    <row r="157" spans="2:12" x14ac:dyDescent="0.2">
      <c r="B157" s="335"/>
      <c r="D157" s="190"/>
      <c r="E157" s="857"/>
      <c r="F157" s="881"/>
      <c r="G157" s="964"/>
      <c r="H157" s="391"/>
    </row>
    <row r="158" spans="2:12" x14ac:dyDescent="0.2">
      <c r="B158" s="288" t="s">
        <v>126</v>
      </c>
      <c r="C158" s="289" t="s">
        <v>119</v>
      </c>
      <c r="D158" s="290"/>
      <c r="E158" s="899"/>
      <c r="F158" s="899"/>
      <c r="G158" s="899"/>
      <c r="H158" s="391"/>
    </row>
    <row r="159" spans="2:12" x14ac:dyDescent="0.2">
      <c r="B159" s="428"/>
      <c r="C159" s="363"/>
      <c r="D159" s="364" t="s">
        <v>1</v>
      </c>
      <c r="E159" s="963">
        <v>1.06</v>
      </c>
      <c r="F159" s="926">
        <f>SUM(F148:F151,F155:F155)</f>
        <v>90795.383999999991</v>
      </c>
      <c r="G159" s="926">
        <f>F159*E159/100</f>
        <v>962.43107039999984</v>
      </c>
      <c r="H159" s="391"/>
    </row>
    <row r="160" spans="2:12" x14ac:dyDescent="0.2">
      <c r="B160" s="292"/>
      <c r="C160" s="293"/>
      <c r="D160" s="293"/>
      <c r="E160" s="909"/>
      <c r="F160" s="874" t="s">
        <v>36</v>
      </c>
      <c r="G160" s="875">
        <f>SUM(G159:G159)</f>
        <v>962.43107039999984</v>
      </c>
      <c r="H160" s="391"/>
    </row>
    <row r="161" spans="2:8" x14ac:dyDescent="0.2">
      <c r="B161" s="335"/>
      <c r="D161" s="190"/>
      <c r="E161" s="857"/>
      <c r="F161" s="881"/>
      <c r="G161" s="881"/>
    </row>
    <row r="162" spans="2:8" x14ac:dyDescent="0.2">
      <c r="B162" s="288" t="s">
        <v>127</v>
      </c>
      <c r="C162" s="289" t="s">
        <v>52</v>
      </c>
      <c r="D162" s="290"/>
      <c r="E162" s="899"/>
      <c r="F162" s="899" t="s">
        <v>102</v>
      </c>
      <c r="G162" s="899" t="s">
        <v>105</v>
      </c>
    </row>
    <row r="163" spans="2:8" x14ac:dyDescent="0.2">
      <c r="B163" s="428" t="s">
        <v>316</v>
      </c>
      <c r="C163" s="363" t="s">
        <v>123</v>
      </c>
      <c r="D163" s="364" t="s">
        <v>4</v>
      </c>
      <c r="E163" s="963">
        <f>E133+E132</f>
        <v>0.3</v>
      </c>
      <c r="F163" s="926">
        <f>'3. PREÇOS UNITÁRIOS'!D49</f>
        <v>2341.25</v>
      </c>
      <c r="G163" s="926">
        <f>E163*F163</f>
        <v>702.375</v>
      </c>
    </row>
    <row r="164" spans="2:8" x14ac:dyDescent="0.2">
      <c r="B164" s="335" t="s">
        <v>317</v>
      </c>
      <c r="C164" s="189" t="s">
        <v>85</v>
      </c>
      <c r="D164" s="193" t="s">
        <v>4</v>
      </c>
      <c r="E164" s="972">
        <f>E139</f>
        <v>0</v>
      </c>
      <c r="F164" s="955">
        <f>'3. PREÇOS UNITÁRIOS'!D51</f>
        <v>0</v>
      </c>
      <c r="G164" s="955">
        <f t="shared" ref="G164:G166" si="6">E164*F164</f>
        <v>0</v>
      </c>
    </row>
    <row r="165" spans="2:8" x14ac:dyDescent="0.2">
      <c r="B165" s="335" t="s">
        <v>318</v>
      </c>
      <c r="C165" s="189" t="s">
        <v>608</v>
      </c>
      <c r="D165" s="193" t="s">
        <v>4</v>
      </c>
      <c r="E165" s="972">
        <f>E163</f>
        <v>0.3</v>
      </c>
      <c r="F165" s="955">
        <f>'3. PREÇOS UNITÁRIOS'!D52</f>
        <v>150</v>
      </c>
      <c r="G165" s="955">
        <f t="shared" si="6"/>
        <v>45</v>
      </c>
    </row>
    <row r="166" spans="2:8" x14ac:dyDescent="0.2">
      <c r="B166" s="353" t="s">
        <v>319</v>
      </c>
      <c r="C166" s="397" t="s">
        <v>569</v>
      </c>
      <c r="D166" s="361" t="s">
        <v>4</v>
      </c>
      <c r="E166" s="973">
        <f>E164</f>
        <v>0</v>
      </c>
      <c r="F166" s="974">
        <f>'3. PREÇOS UNITÁRIOS'!D53</f>
        <v>142.69</v>
      </c>
      <c r="G166" s="974">
        <f t="shared" si="6"/>
        <v>0</v>
      </c>
    </row>
    <row r="167" spans="2:8" x14ac:dyDescent="0.2">
      <c r="B167" s="292"/>
      <c r="C167" s="293"/>
      <c r="D167" s="293"/>
      <c r="E167" s="909"/>
      <c r="F167" s="874" t="s">
        <v>36</v>
      </c>
      <c r="G167" s="875">
        <f>SUM(G163:G166)</f>
        <v>747.375</v>
      </c>
      <c r="H167" s="476"/>
    </row>
    <row r="168" spans="2:8" x14ac:dyDescent="0.2">
      <c r="B168" s="292"/>
      <c r="C168" s="293"/>
      <c r="D168" s="293"/>
      <c r="E168" s="909"/>
      <c r="F168" s="874" t="s">
        <v>370</v>
      </c>
      <c r="G168" s="875">
        <f>G167/12</f>
        <v>62.28125</v>
      </c>
      <c r="H168" s="476"/>
    </row>
    <row r="169" spans="2:8" x14ac:dyDescent="0.2">
      <c r="B169" s="353"/>
      <c r="C169" s="354"/>
      <c r="D169" s="355"/>
      <c r="E169" s="978"/>
      <c r="F169" s="978"/>
      <c r="G169" s="979"/>
      <c r="H169" s="476"/>
    </row>
    <row r="170" spans="2:8" x14ac:dyDescent="0.2">
      <c r="B170" s="288" t="s">
        <v>128</v>
      </c>
      <c r="C170" s="289" t="s">
        <v>53</v>
      </c>
      <c r="D170" s="290"/>
      <c r="E170" s="899"/>
      <c r="F170" s="899"/>
      <c r="G170" s="899"/>
    </row>
    <row r="171" spans="2:8" x14ac:dyDescent="0.2">
      <c r="B171" s="335" t="s">
        <v>312</v>
      </c>
      <c r="C171" s="363" t="s">
        <v>112</v>
      </c>
      <c r="D171" s="364" t="s">
        <v>311</v>
      </c>
      <c r="E171" s="981">
        <f>'2. DADOS DE ENTRADA'!E264/'2. DADOS DE ENTRADA'!D253</f>
        <v>125.49444444444444</v>
      </c>
      <c r="F171" s="926">
        <f>'3. PREÇOS UNITÁRIOS'!D31</f>
        <v>6.29</v>
      </c>
      <c r="G171" s="926">
        <f>E171*F171</f>
        <v>789.3600555555555</v>
      </c>
    </row>
    <row r="172" spans="2:8" x14ac:dyDescent="0.2">
      <c r="B172" s="335" t="s">
        <v>313</v>
      </c>
      <c r="C172" s="192" t="s">
        <v>57</v>
      </c>
      <c r="D172" s="190" t="s">
        <v>311</v>
      </c>
      <c r="E172" s="983">
        <f>'2. DADOS DE ENTRADA'!E266/'2. DADOS DE ENTRADA'!D255</f>
        <v>0</v>
      </c>
      <c r="F172" s="927">
        <f>'3. PREÇOS UNITÁRIOS'!D32</f>
        <v>0</v>
      </c>
      <c r="G172" s="927">
        <f>E172*F172</f>
        <v>0</v>
      </c>
    </row>
    <row r="173" spans="2:8" x14ac:dyDescent="0.2">
      <c r="B173" s="292"/>
      <c r="C173" s="293"/>
      <c r="D173" s="293"/>
      <c r="E173" s="909"/>
      <c r="F173" s="874" t="s">
        <v>36</v>
      </c>
      <c r="G173" s="875">
        <f>SUM(G171:G172)</f>
        <v>789.3600555555555</v>
      </c>
      <c r="H173" s="391"/>
    </row>
    <row r="174" spans="2:8" s="192" customFormat="1" ht="15" x14ac:dyDescent="0.25">
      <c r="B174" s="401"/>
      <c r="C174" s="201"/>
      <c r="D174" s="201"/>
      <c r="E174" s="984"/>
      <c r="F174" s="861"/>
      <c r="G174" s="861"/>
      <c r="H174" s="391"/>
    </row>
    <row r="175" spans="2:8" x14ac:dyDescent="0.2">
      <c r="B175" s="288" t="s">
        <v>129</v>
      </c>
      <c r="C175" s="289" t="s">
        <v>655</v>
      </c>
      <c r="D175" s="290"/>
      <c r="E175" s="899"/>
      <c r="F175" s="899"/>
      <c r="G175" s="899"/>
    </row>
    <row r="176" spans="2:8" x14ac:dyDescent="0.2">
      <c r="B176" s="428" t="s">
        <v>321</v>
      </c>
      <c r="C176" s="363" t="s">
        <v>58</v>
      </c>
      <c r="D176" s="364" t="s">
        <v>1</v>
      </c>
      <c r="E176" s="963">
        <v>1.2</v>
      </c>
      <c r="F176" s="926">
        <f>SUM(F148:F151)</f>
        <v>90795.383999999991</v>
      </c>
      <c r="G176" s="926">
        <f>(E176/100)*F176</f>
        <v>1089.5446079999999</v>
      </c>
    </row>
    <row r="177" spans="2:8" x14ac:dyDescent="0.2">
      <c r="B177" s="335" t="s">
        <v>322</v>
      </c>
      <c r="C177" s="189" t="s">
        <v>14</v>
      </c>
      <c r="D177" s="193" t="s">
        <v>1</v>
      </c>
      <c r="E177" s="972">
        <v>1.2</v>
      </c>
      <c r="F177" s="955">
        <f>SUM(F155:F155)</f>
        <v>0</v>
      </c>
      <c r="G177" s="955">
        <f>(E177/100)*F177</f>
        <v>0</v>
      </c>
      <c r="H177" s="391"/>
    </row>
    <row r="178" spans="2:8" x14ac:dyDescent="0.2">
      <c r="B178" s="335" t="s">
        <v>666</v>
      </c>
      <c r="C178" s="189" t="s">
        <v>660</v>
      </c>
      <c r="D178" s="193" t="s">
        <v>4</v>
      </c>
      <c r="E178" s="972">
        <f>'2. DADOS DE ENTRADA'!G242+'2. DADOS DE ENTRADA'!G243</f>
        <v>0.6</v>
      </c>
      <c r="F178" s="955">
        <f>'3. PREÇOS UNITÁRIOS'!D64</f>
        <v>330</v>
      </c>
      <c r="G178" s="955">
        <f>F178*E178</f>
        <v>198</v>
      </c>
      <c r="H178" s="391"/>
    </row>
    <row r="179" spans="2:8" x14ac:dyDescent="0.2">
      <c r="B179" s="335" t="s">
        <v>667</v>
      </c>
      <c r="C179" s="189" t="s">
        <v>664</v>
      </c>
      <c r="D179" s="193" t="s">
        <v>4</v>
      </c>
      <c r="E179" s="972">
        <f>'2. DADOS DE ENTRADA'!G244</f>
        <v>0</v>
      </c>
      <c r="F179" s="994">
        <f>'3. PREÇOS UNITÁRIOS'!D66</f>
        <v>70</v>
      </c>
      <c r="G179" s="994">
        <f>F179*E179</f>
        <v>0</v>
      </c>
      <c r="H179" s="391"/>
    </row>
    <row r="180" spans="2:8" x14ac:dyDescent="0.2">
      <c r="B180" s="292"/>
      <c r="C180" s="293"/>
      <c r="D180" s="293"/>
      <c r="E180" s="909"/>
      <c r="F180" s="874" t="s">
        <v>36</v>
      </c>
      <c r="G180" s="875">
        <f>SUM(G176:G179)</f>
        <v>1287.5446079999999</v>
      </c>
      <c r="H180" s="391"/>
    </row>
    <row r="181" spans="2:8" x14ac:dyDescent="0.2">
      <c r="B181" s="335"/>
      <c r="D181" s="190"/>
      <c r="E181" s="857"/>
      <c r="F181" s="964"/>
      <c r="G181" s="901"/>
    </row>
    <row r="182" spans="2:8" x14ac:dyDescent="0.2">
      <c r="B182" s="288" t="s">
        <v>130</v>
      </c>
      <c r="C182" s="289" t="s">
        <v>59</v>
      </c>
      <c r="D182" s="290"/>
      <c r="E182" s="899"/>
      <c r="F182" s="899"/>
      <c r="G182" s="899"/>
    </row>
    <row r="183" spans="2:8" x14ac:dyDescent="0.2">
      <c r="B183" s="424" t="s">
        <v>339</v>
      </c>
      <c r="C183" s="289" t="s">
        <v>118</v>
      </c>
      <c r="D183" s="290"/>
      <c r="E183" s="899"/>
      <c r="F183" s="899"/>
      <c r="G183" s="899"/>
    </row>
    <row r="184" spans="2:8" x14ac:dyDescent="0.2">
      <c r="B184" s="335" t="s">
        <v>342</v>
      </c>
      <c r="C184" s="393" t="s">
        <v>60</v>
      </c>
      <c r="D184" s="394" t="s">
        <v>3</v>
      </c>
      <c r="E184" s="991">
        <f>'2. DADOS DE ENTRADA'!E253</f>
        <v>60000</v>
      </c>
      <c r="F184" s="992"/>
      <c r="G184" s="992"/>
    </row>
    <row r="185" spans="2:8" x14ac:dyDescent="0.2">
      <c r="B185" s="335" t="s">
        <v>343</v>
      </c>
      <c r="C185" s="189" t="s">
        <v>61</v>
      </c>
      <c r="D185" s="193" t="str">
        <f>D184</f>
        <v>Km</v>
      </c>
      <c r="E185" s="870">
        <f>'2. DADOS DE ENTRADA'!E264</f>
        <v>225.89</v>
      </c>
      <c r="F185" s="993"/>
      <c r="G185" s="993"/>
    </row>
    <row r="186" spans="2:8" x14ac:dyDescent="0.2">
      <c r="B186" s="335" t="s">
        <v>344</v>
      </c>
      <c r="C186" s="192" t="s">
        <v>86</v>
      </c>
      <c r="D186" s="190" t="s">
        <v>4</v>
      </c>
      <c r="E186" s="924">
        <f>'2. DADOS DE ENTRADA'!F254</f>
        <v>1</v>
      </c>
      <c r="F186" s="901">
        <f>'3. PREÇOS UNITÁRIOS'!D56</f>
        <v>2240</v>
      </c>
      <c r="G186" s="901">
        <f>E186*F186</f>
        <v>2240</v>
      </c>
    </row>
    <row r="187" spans="2:8" x14ac:dyDescent="0.2">
      <c r="B187" s="335" t="s">
        <v>345</v>
      </c>
      <c r="C187" s="192" t="s">
        <v>62</v>
      </c>
      <c r="D187" s="190" t="s">
        <v>4</v>
      </c>
      <c r="E187" s="924">
        <f>'2. DADOS DE ENTRADA'!G254</f>
        <v>1</v>
      </c>
      <c r="F187" s="901">
        <f>'3. PREÇOS UNITÁRIOS'!D57</f>
        <v>240</v>
      </c>
      <c r="G187" s="901">
        <f>E187*F187</f>
        <v>240</v>
      </c>
    </row>
    <row r="188" spans="2:8" x14ac:dyDescent="0.2">
      <c r="B188" s="335" t="s">
        <v>346</v>
      </c>
      <c r="C188" s="192" t="s">
        <v>63</v>
      </c>
      <c r="D188" s="190" t="s">
        <v>4</v>
      </c>
      <c r="E188" s="924">
        <f>'2. DADOS DE ENTRADA'!H254</f>
        <v>1</v>
      </c>
      <c r="F188" s="901">
        <f>'3. PREÇOS UNITÁRIOS'!D58</f>
        <v>120</v>
      </c>
      <c r="G188" s="901">
        <f>E188*F188</f>
        <v>120</v>
      </c>
    </row>
    <row r="189" spans="2:8" x14ac:dyDescent="0.2">
      <c r="B189" s="335" t="s">
        <v>347</v>
      </c>
      <c r="C189" s="192" t="s">
        <v>64</v>
      </c>
      <c r="D189" s="190" t="s">
        <v>4</v>
      </c>
      <c r="E189" s="924">
        <f>'2. DADOS DE ENTRADA'!I254</f>
        <v>2</v>
      </c>
      <c r="F189" s="901">
        <f>'3. PREÇOS UNITÁRIOS'!D59</f>
        <v>625</v>
      </c>
      <c r="G189" s="901">
        <f>E189*F189</f>
        <v>1250</v>
      </c>
    </row>
    <row r="190" spans="2:8" x14ac:dyDescent="0.2">
      <c r="B190" s="335" t="s">
        <v>348</v>
      </c>
      <c r="C190" s="189" t="s">
        <v>65</v>
      </c>
      <c r="D190" s="193" t="s">
        <v>4</v>
      </c>
      <c r="E190" s="972">
        <f>'2. DADOS DE ENTRADA'!J254</f>
        <v>2</v>
      </c>
      <c r="F190" s="994">
        <f>'3. PREÇOS UNITÁRIOS'!D60</f>
        <v>250</v>
      </c>
      <c r="G190" s="994">
        <f>E190*F190</f>
        <v>500</v>
      </c>
    </row>
    <row r="191" spans="2:8" x14ac:dyDescent="0.2">
      <c r="B191" s="292"/>
      <c r="C191" s="293"/>
      <c r="D191" s="293"/>
      <c r="E191" s="909"/>
      <c r="F191" s="874" t="s">
        <v>36</v>
      </c>
      <c r="G191" s="875">
        <f>SUM(G186:G190)</f>
        <v>4350</v>
      </c>
      <c r="H191" s="357"/>
    </row>
    <row r="192" spans="2:8" x14ac:dyDescent="0.2">
      <c r="B192" s="292"/>
      <c r="C192" s="293"/>
      <c r="D192" s="293"/>
      <c r="E192" s="909"/>
      <c r="F192" s="874" t="s">
        <v>370</v>
      </c>
      <c r="G192" s="875">
        <f>(G191/E184)*E185</f>
        <v>16.377024999999996</v>
      </c>
      <c r="H192" s="357"/>
    </row>
    <row r="193" spans="2:14" x14ac:dyDescent="0.2">
      <c r="B193" s="335"/>
      <c r="C193" s="189"/>
      <c r="D193" s="190"/>
      <c r="E193" s="924"/>
      <c r="F193" s="881"/>
      <c r="G193" s="881"/>
    </row>
    <row r="194" spans="2:14" x14ac:dyDescent="0.2">
      <c r="B194" s="288" t="s">
        <v>340</v>
      </c>
      <c r="C194" s="289" t="s">
        <v>67</v>
      </c>
      <c r="D194" s="290"/>
      <c r="E194" s="899"/>
      <c r="F194" s="899"/>
      <c r="G194" s="899"/>
      <c r="H194" s="357"/>
    </row>
    <row r="195" spans="2:14" x14ac:dyDescent="0.2">
      <c r="B195" s="345" t="s">
        <v>349</v>
      </c>
      <c r="C195" s="192" t="s">
        <v>60</v>
      </c>
      <c r="D195" s="190" t="s">
        <v>3</v>
      </c>
      <c r="E195" s="995">
        <f>'2. DADOS DE ENTRADA'!E255</f>
        <v>60000</v>
      </c>
      <c r="F195" s="881"/>
      <c r="G195" s="881"/>
    </row>
    <row r="196" spans="2:14" x14ac:dyDescent="0.2">
      <c r="B196" s="345" t="s">
        <v>350</v>
      </c>
      <c r="C196" s="192" t="s">
        <v>68</v>
      </c>
      <c r="D196" s="190" t="str">
        <f>D195</f>
        <v>Km</v>
      </c>
      <c r="E196" s="995">
        <f>'2. DADOS DE ENTRADA'!E266</f>
        <v>0</v>
      </c>
      <c r="F196" s="881"/>
      <c r="G196" s="881"/>
    </row>
    <row r="197" spans="2:14" x14ac:dyDescent="0.2">
      <c r="B197" s="345" t="s">
        <v>351</v>
      </c>
      <c r="C197" s="192" t="s">
        <v>120</v>
      </c>
      <c r="D197" s="190" t="s">
        <v>4</v>
      </c>
      <c r="E197" s="924">
        <f>'2. DADOS DE ENTRADA'!F255</f>
        <v>0</v>
      </c>
      <c r="F197" s="964">
        <f>'3. PREÇOS UNITÁRIOS'!D62</f>
        <v>0</v>
      </c>
      <c r="G197" s="964">
        <f>E197*F197</f>
        <v>0</v>
      </c>
    </row>
    <row r="198" spans="2:14" x14ac:dyDescent="0.2">
      <c r="B198" s="292"/>
      <c r="C198" s="293"/>
      <c r="D198" s="293"/>
      <c r="E198" s="909"/>
      <c r="F198" s="874" t="s">
        <v>36</v>
      </c>
      <c r="G198" s="875">
        <f>SUM(G197)</f>
        <v>0</v>
      </c>
      <c r="H198" s="357"/>
    </row>
    <row r="199" spans="2:14" ht="15.75" customHeight="1" x14ac:dyDescent="0.2">
      <c r="B199" s="292"/>
      <c r="C199" s="293" t="s">
        <v>66</v>
      </c>
      <c r="D199" s="293"/>
      <c r="E199" s="909"/>
      <c r="F199" s="874" t="s">
        <v>370</v>
      </c>
      <c r="G199" s="875">
        <f>(G198/E195)*E196</f>
        <v>0</v>
      </c>
      <c r="H199" s="357"/>
    </row>
    <row r="200" spans="2:14" x14ac:dyDescent="0.2">
      <c r="B200" s="335"/>
      <c r="C200" s="189"/>
      <c r="D200" s="189"/>
      <c r="E200" s="993"/>
      <c r="F200" s="993"/>
      <c r="G200" s="993"/>
      <c r="H200" s="357"/>
    </row>
    <row r="201" spans="2:14" x14ac:dyDescent="0.2">
      <c r="B201" s="288" t="s">
        <v>341</v>
      </c>
      <c r="C201" s="289" t="s">
        <v>621</v>
      </c>
      <c r="D201" s="290"/>
      <c r="E201" s="899"/>
      <c r="F201" s="899"/>
      <c r="G201" s="899"/>
      <c r="H201" s="357"/>
    </row>
    <row r="202" spans="2:14" x14ac:dyDescent="0.2">
      <c r="B202" s="362" t="s">
        <v>392</v>
      </c>
      <c r="C202" s="363" t="s">
        <v>621</v>
      </c>
      <c r="D202" s="364" t="s">
        <v>1</v>
      </c>
      <c r="E202" s="997">
        <v>0.1</v>
      </c>
      <c r="F202" s="926">
        <f>G173</f>
        <v>789.3600555555555</v>
      </c>
      <c r="G202" s="926">
        <f>E202*F202</f>
        <v>78.936005555555553</v>
      </c>
      <c r="H202" s="357"/>
    </row>
    <row r="203" spans="2:14" x14ac:dyDescent="0.2">
      <c r="B203" s="292"/>
      <c r="C203" s="293"/>
      <c r="D203" s="293"/>
      <c r="E203" s="909"/>
      <c r="F203" s="874" t="s">
        <v>36</v>
      </c>
      <c r="G203" s="875">
        <f>SUM(G202)</f>
        <v>78.936005555555553</v>
      </c>
    </row>
    <row r="204" spans="2:14" s="192" customFormat="1" x14ac:dyDescent="0.2">
      <c r="B204" s="292"/>
      <c r="C204" s="293"/>
      <c r="D204" s="293"/>
      <c r="E204" s="909"/>
      <c r="F204" s="874" t="s">
        <v>370</v>
      </c>
      <c r="G204" s="875">
        <f>G203</f>
        <v>78.936005555555553</v>
      </c>
      <c r="I204" s="189"/>
      <c r="J204" s="189"/>
      <c r="K204" s="189"/>
      <c r="L204" s="189"/>
      <c r="M204" s="189"/>
      <c r="N204" s="189"/>
    </row>
    <row r="205" spans="2:14" s="192" customFormat="1" ht="15" x14ac:dyDescent="0.2">
      <c r="B205" s="448"/>
      <c r="C205" s="441"/>
      <c r="D205" s="441"/>
      <c r="E205" s="1048" t="s">
        <v>570</v>
      </c>
      <c r="F205" s="1048"/>
      <c r="G205" s="1048">
        <f>G204+G199+G192+G180+G173+G168+G159+G156+G152</f>
        <v>3690.1002752711111</v>
      </c>
      <c r="I205" s="189"/>
      <c r="J205" s="189"/>
      <c r="K205" s="189"/>
      <c r="L205" s="189"/>
      <c r="M205" s="189"/>
      <c r="N205" s="189"/>
    </row>
    <row r="206" spans="2:14" s="192" customFormat="1" x14ac:dyDescent="0.2">
      <c r="B206" s="462"/>
      <c r="C206" s="463"/>
      <c r="D206" s="464"/>
      <c r="E206" s="1058"/>
      <c r="F206" s="1058"/>
      <c r="G206" s="1058"/>
    </row>
    <row r="207" spans="2:14" x14ac:dyDescent="0.2">
      <c r="B207" s="465" t="s">
        <v>677</v>
      </c>
      <c r="C207" s="466" t="s">
        <v>678</v>
      </c>
      <c r="D207" s="467"/>
      <c r="E207" s="1059"/>
      <c r="F207" s="1059"/>
      <c r="G207" s="1059"/>
    </row>
    <row r="208" spans="2:14" ht="15" x14ac:dyDescent="0.2">
      <c r="B208" s="284"/>
      <c r="C208" s="285"/>
      <c r="D208" s="286"/>
      <c r="E208" s="895"/>
      <c r="F208" s="895"/>
      <c r="G208" s="895"/>
    </row>
    <row r="209" spans="2:7" x14ac:dyDescent="0.2">
      <c r="B209" s="268" t="s">
        <v>7</v>
      </c>
      <c r="C209" s="305" t="s">
        <v>8</v>
      </c>
      <c r="D209" s="269" t="s">
        <v>9</v>
      </c>
      <c r="E209" s="938" t="s">
        <v>10</v>
      </c>
      <c r="F209" s="938" t="s">
        <v>11</v>
      </c>
      <c r="G209" s="938" t="s">
        <v>12</v>
      </c>
    </row>
    <row r="210" spans="2:7" x14ac:dyDescent="0.2">
      <c r="B210" s="288" t="s">
        <v>100</v>
      </c>
      <c r="C210" s="289" t="s">
        <v>722</v>
      </c>
      <c r="D210" s="290"/>
      <c r="E210" s="899"/>
      <c r="F210" s="899"/>
      <c r="G210" s="899"/>
    </row>
    <row r="211" spans="2:7" x14ac:dyDescent="0.2">
      <c r="B211" s="406" t="s">
        <v>703</v>
      </c>
      <c r="C211" s="192" t="s">
        <v>679</v>
      </c>
      <c r="D211" s="193" t="s">
        <v>4</v>
      </c>
      <c r="E211" s="870">
        <f>'2. DADOS DE ENTRADA'!G248</f>
        <v>18</v>
      </c>
      <c r="F211" s="955">
        <f>'3. PREÇOS UNITÁRIOS'!D69</f>
        <v>10</v>
      </c>
      <c r="G211" s="955">
        <f>E211*F211</f>
        <v>180</v>
      </c>
    </row>
    <row r="212" spans="2:7" x14ac:dyDescent="0.2">
      <c r="B212" s="406" t="s">
        <v>704</v>
      </c>
      <c r="C212" s="192" t="s">
        <v>680</v>
      </c>
      <c r="D212" s="193" t="s">
        <v>4</v>
      </c>
      <c r="E212" s="862">
        <f>'2. DADOS DE ENTRADA'!G214+'2. DADOS DE ENTRADA'!G215+'2. DADOS DE ENTRADA'!G216+'2. DADOS DE ENTRADA'!G217</f>
        <v>0.3</v>
      </c>
      <c r="F212" s="955">
        <f>'3. PREÇOS UNITÁRIOS'!D70</f>
        <v>8.3333333333333339</v>
      </c>
      <c r="G212" s="955">
        <f t="shared" ref="G212:G213" si="7">E212*F212</f>
        <v>2.5</v>
      </c>
    </row>
    <row r="213" spans="2:7" ht="42.75" x14ac:dyDescent="0.2">
      <c r="B213" s="406" t="s">
        <v>705</v>
      </c>
      <c r="C213" s="195" t="s">
        <v>735</v>
      </c>
      <c r="D213" s="203" t="s">
        <v>681</v>
      </c>
      <c r="E213" s="999">
        <f>E212</f>
        <v>0.3</v>
      </c>
      <c r="F213" s="1000">
        <f>'3. PREÇOS UNITÁRIOS'!D71</f>
        <v>69.900000000000006</v>
      </c>
      <c r="G213" s="1000">
        <f t="shared" si="7"/>
        <v>20.970000000000002</v>
      </c>
    </row>
    <row r="214" spans="2:7" x14ac:dyDescent="0.2">
      <c r="B214" s="292"/>
      <c r="C214" s="293"/>
      <c r="D214" s="293"/>
      <c r="E214" s="909"/>
      <c r="F214" s="874" t="s">
        <v>36</v>
      </c>
      <c r="G214" s="875">
        <f>SUM(G211:G213)</f>
        <v>203.47</v>
      </c>
    </row>
    <row r="215" spans="2:7" ht="15" x14ac:dyDescent="0.2">
      <c r="B215" s="416"/>
      <c r="C215" s="417"/>
      <c r="D215" s="417"/>
      <c r="E215" s="1037" t="s">
        <v>726</v>
      </c>
      <c r="F215" s="1037"/>
      <c r="G215" s="1037">
        <f>G214</f>
        <v>203.47</v>
      </c>
    </row>
    <row r="216" spans="2:7" x14ac:dyDescent="0.2">
      <c r="B216" s="335"/>
      <c r="E216" s="881"/>
      <c r="F216" s="881"/>
      <c r="G216" s="881"/>
    </row>
    <row r="217" spans="2:7" x14ac:dyDescent="0.2">
      <c r="B217" s="281" t="s">
        <v>537</v>
      </c>
      <c r="C217" s="282" t="s">
        <v>534</v>
      </c>
      <c r="D217" s="283"/>
      <c r="E217" s="893"/>
      <c r="F217" s="893"/>
      <c r="G217" s="893"/>
    </row>
    <row r="218" spans="2:7" x14ac:dyDescent="0.2">
      <c r="B218" s="758" t="s">
        <v>103</v>
      </c>
      <c r="C218" s="759" t="s">
        <v>34</v>
      </c>
      <c r="D218" s="760"/>
      <c r="E218" s="1043"/>
      <c r="F218" s="1043"/>
      <c r="G218" s="1060">
        <f>G43</f>
        <v>5509.4219300560471</v>
      </c>
    </row>
    <row r="219" spans="2:7" x14ac:dyDescent="0.2">
      <c r="B219" s="758" t="s">
        <v>708</v>
      </c>
      <c r="C219" s="759" t="s">
        <v>37</v>
      </c>
      <c r="D219" s="760"/>
      <c r="E219" s="1043"/>
      <c r="F219" s="1043"/>
      <c r="G219" s="1060">
        <f>G85</f>
        <v>823.53320711249603</v>
      </c>
    </row>
    <row r="220" spans="2:7" x14ac:dyDescent="0.2">
      <c r="B220" s="758" t="s">
        <v>709</v>
      </c>
      <c r="C220" s="759" t="s">
        <v>724</v>
      </c>
      <c r="D220" s="760"/>
      <c r="E220" s="1043"/>
      <c r="F220" s="1043"/>
      <c r="G220" s="1060">
        <f>G124</f>
        <v>225.77903935888889</v>
      </c>
    </row>
    <row r="221" spans="2:7" x14ac:dyDescent="0.2">
      <c r="B221" s="758" t="s">
        <v>710</v>
      </c>
      <c r="C221" s="759" t="s">
        <v>536</v>
      </c>
      <c r="D221" s="760"/>
      <c r="E221" s="1043"/>
      <c r="F221" s="1043"/>
      <c r="G221" s="1060">
        <f>G205</f>
        <v>3690.1002752711111</v>
      </c>
    </row>
    <row r="222" spans="2:7" x14ac:dyDescent="0.2">
      <c r="B222" s="758" t="s">
        <v>729</v>
      </c>
      <c r="C222" s="759" t="s">
        <v>723</v>
      </c>
      <c r="D222" s="760"/>
      <c r="E222" s="1043"/>
      <c r="F222" s="1043"/>
      <c r="G222" s="1061">
        <f>G215</f>
        <v>203.47</v>
      </c>
    </row>
    <row r="223" spans="2:7" ht="15" x14ac:dyDescent="0.2">
      <c r="B223" s="448"/>
      <c r="C223" s="441" t="s">
        <v>535</v>
      </c>
      <c r="D223" s="441"/>
      <c r="E223" s="1048"/>
      <c r="F223" s="1048"/>
      <c r="G223" s="1048">
        <f>SUM(G218:G222)</f>
        <v>10452.304451798542</v>
      </c>
    </row>
    <row r="224" spans="2:7" x14ac:dyDescent="0.2">
      <c r="B224" s="335"/>
      <c r="E224" s="881"/>
      <c r="F224" s="881"/>
      <c r="G224" s="881"/>
    </row>
    <row r="225" spans="2:7" x14ac:dyDescent="0.2">
      <c r="B225" s="319" t="s">
        <v>541</v>
      </c>
      <c r="C225" s="320" t="s">
        <v>538</v>
      </c>
      <c r="D225" s="321"/>
      <c r="E225" s="1010"/>
      <c r="F225" s="1010"/>
      <c r="G225" s="1010"/>
    </row>
    <row r="226" spans="2:7" s="192" customFormat="1" ht="15" x14ac:dyDescent="0.2">
      <c r="B226" s="322"/>
      <c r="C226" s="323"/>
      <c r="D226" s="154"/>
      <c r="E226" s="1012"/>
      <c r="F226" s="1012"/>
      <c r="G226" s="1012"/>
    </row>
    <row r="227" spans="2:7" x14ac:dyDescent="0.2">
      <c r="B227" s="268" t="s">
        <v>7</v>
      </c>
      <c r="C227" s="305" t="s">
        <v>8</v>
      </c>
      <c r="D227" s="269"/>
      <c r="E227" s="938"/>
      <c r="F227" s="938" t="s">
        <v>12</v>
      </c>
      <c r="G227" s="938"/>
    </row>
    <row r="228" spans="2:7" x14ac:dyDescent="0.2">
      <c r="B228" s="753" t="s">
        <v>104</v>
      </c>
      <c r="C228" s="754" t="s">
        <v>539</v>
      </c>
      <c r="D228" s="755"/>
      <c r="E228" s="1014"/>
      <c r="F228" s="1015">
        <v>0</v>
      </c>
      <c r="G228" s="1014"/>
    </row>
    <row r="229" spans="2:7" x14ac:dyDescent="0.2">
      <c r="B229" s="294"/>
      <c r="C229" s="295" t="s">
        <v>540</v>
      </c>
      <c r="D229" s="295"/>
      <c r="E229" s="914"/>
      <c r="F229" s="915">
        <f>SUM(F228:F228)</f>
        <v>0</v>
      </c>
      <c r="G229" s="915"/>
    </row>
    <row r="230" spans="2:7" x14ac:dyDescent="0.2">
      <c r="B230" s="335"/>
      <c r="C230" s="189"/>
      <c r="D230" s="193"/>
      <c r="E230" s="993"/>
      <c r="F230" s="1062"/>
      <c r="G230" s="881"/>
    </row>
    <row r="231" spans="2:7" x14ac:dyDescent="0.2">
      <c r="B231" s="317"/>
      <c r="C231" s="318" t="s">
        <v>567</v>
      </c>
      <c r="D231" s="318"/>
      <c r="E231" s="1008"/>
      <c r="F231" s="1017">
        <f>F229+G223</f>
        <v>10452.304451798542</v>
      </c>
      <c r="G231" s="1017"/>
    </row>
    <row r="232" spans="2:7" x14ac:dyDescent="0.2">
      <c r="B232" s="335"/>
      <c r="C232" s="189"/>
      <c r="D232" s="193"/>
      <c r="E232" s="993"/>
      <c r="F232" s="993"/>
      <c r="G232" s="881"/>
    </row>
    <row r="233" spans="2:7" x14ac:dyDescent="0.2">
      <c r="B233" s="319" t="s">
        <v>711</v>
      </c>
      <c r="C233" s="320" t="s">
        <v>542</v>
      </c>
      <c r="D233" s="321"/>
      <c r="E233" s="1010"/>
      <c r="F233" s="1010"/>
      <c r="G233" s="1018"/>
    </row>
    <row r="234" spans="2:7" x14ac:dyDescent="0.2">
      <c r="B234" s="327" t="s">
        <v>7</v>
      </c>
      <c r="C234" s="328" t="s">
        <v>8</v>
      </c>
      <c r="D234" s="329" t="s">
        <v>9</v>
      </c>
      <c r="E234" s="1020" t="s">
        <v>69</v>
      </c>
      <c r="F234" s="1021" t="s">
        <v>12</v>
      </c>
      <c r="G234" s="881"/>
    </row>
    <row r="235" spans="2:7" x14ac:dyDescent="0.2">
      <c r="B235" s="408" t="s">
        <v>273</v>
      </c>
      <c r="C235" s="409" t="s">
        <v>543</v>
      </c>
      <c r="D235" s="193" t="s">
        <v>1</v>
      </c>
      <c r="E235" s="1022">
        <v>4.93</v>
      </c>
      <c r="F235" s="1023"/>
      <c r="G235" s="881"/>
    </row>
    <row r="236" spans="2:7" x14ac:dyDescent="0.2">
      <c r="B236" s="408" t="s">
        <v>712</v>
      </c>
      <c r="C236" s="411" t="s">
        <v>545</v>
      </c>
      <c r="D236" s="193" t="s">
        <v>1</v>
      </c>
      <c r="E236" s="1024">
        <v>0.99</v>
      </c>
      <c r="F236" s="1023"/>
      <c r="G236" s="881"/>
    </row>
    <row r="237" spans="2:7" x14ac:dyDescent="0.2">
      <c r="B237" s="408" t="s">
        <v>713</v>
      </c>
      <c r="C237" s="411" t="s">
        <v>547</v>
      </c>
      <c r="D237" s="193" t="s">
        <v>1</v>
      </c>
      <c r="E237" s="1024">
        <f>SUM(E238:E239)</f>
        <v>1.88</v>
      </c>
      <c r="F237" s="1023"/>
      <c r="G237" s="881"/>
    </row>
    <row r="238" spans="2:7" x14ac:dyDescent="0.2">
      <c r="B238" s="408" t="s">
        <v>714</v>
      </c>
      <c r="C238" s="411" t="s">
        <v>568</v>
      </c>
      <c r="D238" s="193" t="s">
        <v>1</v>
      </c>
      <c r="E238" s="1024">
        <v>0.49</v>
      </c>
      <c r="F238" s="1023"/>
      <c r="G238" s="881"/>
    </row>
    <row r="239" spans="2:7" x14ac:dyDescent="0.2">
      <c r="B239" s="408" t="s">
        <v>715</v>
      </c>
      <c r="C239" s="411" t="s">
        <v>551</v>
      </c>
      <c r="D239" s="193" t="s">
        <v>1</v>
      </c>
      <c r="E239" s="1024">
        <v>1.39</v>
      </c>
      <c r="F239" s="1023"/>
      <c r="G239" s="881"/>
    </row>
    <row r="240" spans="2:7" x14ac:dyDescent="0.2">
      <c r="B240" s="408" t="s">
        <v>716</v>
      </c>
      <c r="C240" s="411" t="s">
        <v>553</v>
      </c>
      <c r="D240" s="193" t="s">
        <v>1</v>
      </c>
      <c r="E240" s="1024">
        <f>SUM(E241:E243)</f>
        <v>6.65</v>
      </c>
      <c r="F240" s="1023"/>
      <c r="G240" s="881"/>
    </row>
    <row r="241" spans="2:7" x14ac:dyDescent="0.2">
      <c r="B241" s="408" t="s">
        <v>717</v>
      </c>
      <c r="C241" s="411" t="s">
        <v>555</v>
      </c>
      <c r="D241" s="193" t="s">
        <v>1</v>
      </c>
      <c r="E241" s="1024">
        <v>3</v>
      </c>
      <c r="F241" s="1023"/>
      <c r="G241" s="881"/>
    </row>
    <row r="242" spans="2:7" x14ac:dyDescent="0.2">
      <c r="B242" s="408" t="s">
        <v>718</v>
      </c>
      <c r="C242" s="411" t="s">
        <v>557</v>
      </c>
      <c r="D242" s="193" t="s">
        <v>1</v>
      </c>
      <c r="E242" s="1024">
        <v>0.65</v>
      </c>
      <c r="F242" s="1023"/>
      <c r="G242" s="1025"/>
    </row>
    <row r="243" spans="2:7" x14ac:dyDescent="0.2">
      <c r="B243" s="408" t="s">
        <v>719</v>
      </c>
      <c r="C243" s="411" t="s">
        <v>559</v>
      </c>
      <c r="D243" s="193" t="s">
        <v>1</v>
      </c>
      <c r="E243" s="1024">
        <v>3</v>
      </c>
      <c r="F243" s="1023"/>
      <c r="G243" s="1026"/>
    </row>
    <row r="244" spans="2:7" x14ac:dyDescent="0.2">
      <c r="B244" s="408" t="s">
        <v>720</v>
      </c>
      <c r="C244" s="411" t="s">
        <v>561</v>
      </c>
      <c r="D244" s="193" t="s">
        <v>1</v>
      </c>
      <c r="E244" s="1024">
        <v>8.0399999999999991</v>
      </c>
      <c r="F244" s="1023"/>
      <c r="G244" s="881"/>
    </row>
    <row r="245" spans="2:7" x14ac:dyDescent="0.2">
      <c r="B245" s="408" t="s">
        <v>721</v>
      </c>
      <c r="C245" s="411" t="s">
        <v>562</v>
      </c>
      <c r="D245" s="193" t="s">
        <v>1</v>
      </c>
      <c r="E245" s="1024">
        <f>(((1+(E235+E237)/100)*(1+E236/100)*(1+E244/100)/(1-E240/100))-1)*100</f>
        <v>24.841949102945904</v>
      </c>
      <c r="F245" s="1023"/>
      <c r="G245" s="881"/>
    </row>
    <row r="246" spans="2:7" ht="15" thickBot="1" x14ac:dyDescent="0.25">
      <c r="B246" s="330"/>
      <c r="C246" s="331" t="s">
        <v>563</v>
      </c>
      <c r="D246" s="332"/>
      <c r="E246" s="1027"/>
      <c r="F246" s="1028">
        <f>F231*(E245/100)</f>
        <v>2596.5561520007427</v>
      </c>
      <c r="G246" s="881"/>
    </row>
    <row r="247" spans="2:7" ht="15" thickBot="1" x14ac:dyDescent="0.25">
      <c r="B247" s="335"/>
      <c r="C247" s="189"/>
      <c r="D247" s="193"/>
      <c r="E247" s="993"/>
      <c r="F247" s="993"/>
      <c r="G247" s="881"/>
    </row>
    <row r="248" spans="2:7" x14ac:dyDescent="0.2">
      <c r="B248" s="335"/>
      <c r="C248" s="675" t="s">
        <v>564</v>
      </c>
      <c r="D248" s="676"/>
      <c r="E248" s="1063"/>
      <c r="F248" s="1064">
        <f>F231+F246</f>
        <v>13048.860603799285</v>
      </c>
      <c r="G248" s="927"/>
    </row>
    <row r="249" spans="2:7" x14ac:dyDescent="0.2">
      <c r="B249" s="335"/>
      <c r="C249" s="677" t="s">
        <v>262</v>
      </c>
      <c r="D249" s="678"/>
      <c r="E249" s="1065"/>
      <c r="F249" s="1066">
        <v>1</v>
      </c>
      <c r="G249" s="927"/>
    </row>
    <row r="250" spans="2:7" ht="15" x14ac:dyDescent="0.25">
      <c r="B250" s="353"/>
      <c r="C250" s="679" t="s">
        <v>593</v>
      </c>
      <c r="D250" s="680"/>
      <c r="E250" s="1067"/>
      <c r="F250" s="1068">
        <f>ROUND(F248/F249,2)</f>
        <v>13048.86</v>
      </c>
      <c r="G250" s="1035"/>
    </row>
    <row r="251" spans="2:7" x14ac:dyDescent="0.2">
      <c r="F251" s="414"/>
    </row>
    <row r="252" spans="2:7" x14ac:dyDescent="0.2">
      <c r="C252" s="414"/>
      <c r="D252" s="414"/>
      <c r="E252" s="414"/>
      <c r="F252" s="414"/>
    </row>
    <row r="253" spans="2:7" x14ac:dyDescent="0.2">
      <c r="C253" s="414"/>
      <c r="D253" s="414"/>
      <c r="E253" s="414"/>
      <c r="F253" s="414"/>
    </row>
  </sheetData>
  <sheetProtection algorithmName="SHA-512" hashValue="osteODUFGuiEd/itS4Q7ZRqBF2IaE6UZPOayTfoZyelHAIQxWLw1Jmeu9RuM4HpXyQh4oq9JbKGoAGuOWrc4fA==" saltValue="61e1RROTJzf4r3b4AMqVJA==" spinCount="100000" sheet="1" objects="1" scenarios="1"/>
  <mergeCells count="1">
    <mergeCell ref="B7:G7"/>
  </mergeCells>
  <phoneticPr fontId="12" type="noConversion"/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4:O258"/>
  <sheetViews>
    <sheetView showGridLines="0" view="pageBreakPreview" topLeftCell="B1" zoomScale="85" zoomScaleNormal="100" zoomScaleSheetLayoutView="85" workbookViewId="0">
      <selection activeCell="E12" sqref="E12:H258"/>
    </sheetView>
  </sheetViews>
  <sheetFormatPr defaultColWidth="11.42578125" defaultRowHeight="14.25" x14ac:dyDescent="0.2"/>
  <cols>
    <col min="1" max="1" width="5.140625" style="192" hidden="1" customWidth="1"/>
    <col min="2" max="2" width="11.42578125" style="189" customWidth="1"/>
    <col min="3" max="3" width="44.7109375" style="192" customWidth="1"/>
    <col min="4" max="5" width="17.28515625" style="192" customWidth="1"/>
    <col min="6" max="6" width="16.28515625" style="192" customWidth="1"/>
    <col min="7" max="7" width="17.28515625" style="192" bestFit="1" customWidth="1"/>
    <col min="8" max="8" width="15.28515625" style="192" customWidth="1"/>
    <col min="9" max="9" width="23.7109375" style="192" customWidth="1"/>
    <col min="10" max="10" width="11.42578125" style="189" customWidth="1"/>
    <col min="11" max="12" width="11.42578125" style="189"/>
    <col min="13" max="13" width="12.140625" style="189" bestFit="1" customWidth="1"/>
    <col min="14" max="16384" width="11.42578125" style="189"/>
  </cols>
  <sheetData>
    <row r="4" spans="1:15" x14ac:dyDescent="0.2">
      <c r="D4" s="190"/>
    </row>
    <row r="7" spans="1:15" ht="15" x14ac:dyDescent="0.25">
      <c r="B7" s="821" t="s">
        <v>845</v>
      </c>
      <c r="C7" s="821"/>
      <c r="D7" s="821"/>
      <c r="E7" s="821"/>
      <c r="F7" s="821"/>
      <c r="G7" s="821"/>
      <c r="H7" s="821"/>
      <c r="I7" s="468"/>
      <c r="J7" s="469"/>
      <c r="K7" s="192"/>
      <c r="L7" s="192"/>
      <c r="M7" s="192"/>
      <c r="N7" s="192"/>
      <c r="O7" s="192"/>
    </row>
    <row r="8" spans="1:15" x14ac:dyDescent="0.2">
      <c r="B8" s="333"/>
      <c r="H8" s="334"/>
      <c r="J8" s="192"/>
      <c r="K8" s="192"/>
      <c r="L8" s="192"/>
      <c r="M8" s="192"/>
      <c r="N8" s="192"/>
      <c r="O8" s="192"/>
    </row>
    <row r="9" spans="1:15" ht="15" x14ac:dyDescent="0.2">
      <c r="B9" s="478" t="s">
        <v>2</v>
      </c>
      <c r="C9" s="479" t="s">
        <v>18</v>
      </c>
      <c r="D9" s="480"/>
      <c r="E9" s="480"/>
      <c r="F9" s="480"/>
      <c r="G9" s="480"/>
      <c r="H9" s="481"/>
    </row>
    <row r="10" spans="1:15" ht="15" x14ac:dyDescent="0.2">
      <c r="B10" s="420" t="s">
        <v>7</v>
      </c>
      <c r="C10" s="422" t="s">
        <v>8</v>
      </c>
      <c r="D10" s="422" t="s">
        <v>9</v>
      </c>
      <c r="E10" s="422" t="s">
        <v>10</v>
      </c>
      <c r="F10" s="422" t="s">
        <v>11</v>
      </c>
      <c r="G10" s="422" t="s">
        <v>12</v>
      </c>
      <c r="H10" s="423"/>
      <c r="I10" s="190"/>
    </row>
    <row r="11" spans="1:15" ht="15" x14ac:dyDescent="0.25">
      <c r="B11" s="482" t="s">
        <v>88</v>
      </c>
      <c r="C11" s="483" t="s">
        <v>19</v>
      </c>
      <c r="D11" s="484"/>
      <c r="E11" s="484"/>
      <c r="F11" s="484"/>
      <c r="G11" s="484"/>
      <c r="H11" s="485"/>
      <c r="I11" s="357"/>
    </row>
    <row r="12" spans="1:15" x14ac:dyDescent="0.2">
      <c r="A12" s="192" t="s">
        <v>96</v>
      </c>
      <c r="B12" s="335" t="str">
        <f>IF(C12="","",$B$11&amp;"."&amp;COUNT($F$12:F12))</f>
        <v>1.1.1</v>
      </c>
      <c r="C12" s="192" t="s">
        <v>20</v>
      </c>
      <c r="D12" s="190" t="s">
        <v>21</v>
      </c>
      <c r="E12" s="857">
        <f>SUMIFS('2. DADOS DE ENTRADA'!C:C,'2. DADOS DE ENTRADA'!A:A,'7. TRANSBORDO'!A12,'2. DADOS DE ENTRADA'!B:B,'7. TRANSBORDO'!$C$11)</f>
        <v>173.38</v>
      </c>
      <c r="F12" s="858">
        <f>'3. PREÇOS UNITÁRIOS'!D22/'7. TRANSBORDO'!E12</f>
        <v>13.474592225170147</v>
      </c>
      <c r="G12" s="858">
        <f>E12*F12</f>
        <v>2336.2248</v>
      </c>
      <c r="H12" s="859"/>
      <c r="I12" s="357"/>
    </row>
    <row r="13" spans="1:15" x14ac:dyDescent="0.2">
      <c r="A13" s="192" t="s">
        <v>88</v>
      </c>
      <c r="B13" s="335" t="str">
        <f>IF(C13="","",$B$11&amp;"."&amp;COUNT($F$12:F13))</f>
        <v>1.1.2</v>
      </c>
      <c r="C13" s="192" t="s">
        <v>22</v>
      </c>
      <c r="D13" s="190" t="s">
        <v>1</v>
      </c>
      <c r="E13" s="860">
        <f>SUMIFS('2. DADOS DE ENTRADA'!C:C,'2. DADOS DE ENTRADA'!A:A,'7. TRANSBORDO'!A13,'2. DADOS DE ENTRADA'!B:B,'7. TRANSBORDO'!$C$11)</f>
        <v>0.4</v>
      </c>
      <c r="F13" s="858">
        <f>'3. PREÇOS UNITÁRIOS'!D21</f>
        <v>1412</v>
      </c>
      <c r="G13" s="858">
        <f>E13*F13</f>
        <v>564.80000000000007</v>
      </c>
      <c r="H13" s="859"/>
      <c r="I13" s="337"/>
      <c r="J13" s="224"/>
    </row>
    <row r="14" spans="1:15" ht="15" x14ac:dyDescent="0.25">
      <c r="B14" s="335"/>
      <c r="D14" s="190"/>
      <c r="E14" s="860"/>
      <c r="F14" s="858"/>
      <c r="G14" s="861">
        <f>SUM(G12:G13)</f>
        <v>2901.0248000000001</v>
      </c>
      <c r="H14" s="859"/>
      <c r="I14" s="337"/>
      <c r="J14" s="224"/>
    </row>
    <row r="15" spans="1:15" ht="15" x14ac:dyDescent="0.25">
      <c r="A15" s="192" t="s">
        <v>109</v>
      </c>
      <c r="B15" s="335" t="str">
        <f>IF(C15="","",$B$11&amp;"."&amp;COUNT($F$12:F15))</f>
        <v>1.1.3</v>
      </c>
      <c r="C15" s="192" t="s">
        <v>254</v>
      </c>
      <c r="D15" s="190" t="s">
        <v>21</v>
      </c>
      <c r="E15" s="862">
        <f>SUMIFS('2. DADOS DE ENTRADA'!D:D,'2. DADOS DE ENTRADA'!A:A,'7. TRANSBORDO'!A15,'2. DADOS DE ENTRADA'!B:B,'7. TRANSBORDO'!C11)</f>
        <v>0</v>
      </c>
      <c r="F15" s="863">
        <f>(G14/E12)*1.5</f>
        <v>25.098265082477795</v>
      </c>
      <c r="G15" s="863">
        <f>F15*E15</f>
        <v>0</v>
      </c>
      <c r="H15" s="864"/>
      <c r="I15" s="403"/>
    </row>
    <row r="16" spans="1:15" ht="15" x14ac:dyDescent="0.25">
      <c r="A16" s="192" t="s">
        <v>95</v>
      </c>
      <c r="B16" s="335" t="str">
        <f>IF(C16="","",$B$11&amp;"."&amp;COUNT($F$12:F16))</f>
        <v>1.1.4</v>
      </c>
      <c r="C16" s="192" t="s">
        <v>255</v>
      </c>
      <c r="D16" s="190" t="s">
        <v>21</v>
      </c>
      <c r="E16" s="862">
        <f>SUMIFS('2. DADOS DE ENTRADA'!D:D,'2. DADOS DE ENTRADA'!A:A,'7. TRANSBORDO'!A16,'2. DADOS DE ENTRADA'!B:B,'7. TRANSBORDO'!C11)</f>
        <v>0</v>
      </c>
      <c r="F16" s="863">
        <f>(G14/E12)*2</f>
        <v>33.464353443303729</v>
      </c>
      <c r="G16" s="863">
        <f>F16*E16</f>
        <v>0</v>
      </c>
      <c r="H16" s="864"/>
      <c r="I16" s="403"/>
      <c r="J16" s="224"/>
    </row>
    <row r="17" spans="1:10" ht="15" x14ac:dyDescent="0.25">
      <c r="A17" s="379"/>
      <c r="B17" s="523" t="str">
        <f>IF(C17="","",$B$11&amp;"."&amp;COUNT($F$12:F17))</f>
        <v/>
      </c>
      <c r="C17" s="524"/>
      <c r="D17" s="524"/>
      <c r="E17" s="1069"/>
      <c r="F17" s="1070" t="s">
        <v>352</v>
      </c>
      <c r="G17" s="1071">
        <f>G14+G15+G16</f>
        <v>2901.0248000000001</v>
      </c>
      <c r="H17" s="1072"/>
      <c r="I17" s="403"/>
    </row>
    <row r="18" spans="1:10" x14ac:dyDescent="0.2">
      <c r="A18" s="192" t="s">
        <v>273</v>
      </c>
      <c r="B18" s="335" t="str">
        <f>IF(C18="","",$B$11&amp;"."&amp;COUNT($F$12:F18))</f>
        <v>1.1.5</v>
      </c>
      <c r="C18" s="192" t="s">
        <v>23</v>
      </c>
      <c r="D18" s="190" t="s">
        <v>1</v>
      </c>
      <c r="E18" s="869">
        <f>SUMIFS('2. DADOS DE ENTRADA'!C:C,'2. DADOS DE ENTRADA'!A:A,'7. TRANSBORDO'!A18,'2. DADOS DE ENTRADA'!B:B,'7. TRANSBORDO'!$C$11)</f>
        <v>0.71101040000000004</v>
      </c>
      <c r="F18" s="858">
        <f>G17</f>
        <v>2901.0248000000001</v>
      </c>
      <c r="G18" s="858">
        <f>(E18)*F18</f>
        <v>2062.6588034579204</v>
      </c>
      <c r="H18" s="859"/>
      <c r="I18" s="357"/>
    </row>
    <row r="19" spans="1:10" ht="15" x14ac:dyDescent="0.25">
      <c r="A19" s="379"/>
      <c r="B19" s="523" t="str">
        <f>IF(C19="","",$B$11&amp;"."&amp;COUNT($F$12:F19))</f>
        <v/>
      </c>
      <c r="C19" s="524"/>
      <c r="D19" s="524"/>
      <c r="E19" s="1069"/>
      <c r="F19" s="1070" t="s">
        <v>352</v>
      </c>
      <c r="G19" s="1071">
        <f>G18+G17</f>
        <v>4963.683603457921</v>
      </c>
      <c r="H19" s="1072"/>
      <c r="I19" s="357"/>
    </row>
    <row r="20" spans="1:10" x14ac:dyDescent="0.2">
      <c r="A20" s="192" t="s">
        <v>93</v>
      </c>
      <c r="B20" s="335" t="str">
        <f>IF(C20="","",$B$11&amp;"."&amp;COUNT($F$12:F20))</f>
        <v>1.1.6</v>
      </c>
      <c r="C20" s="192" t="s">
        <v>24</v>
      </c>
      <c r="D20" s="190" t="s">
        <v>25</v>
      </c>
      <c r="E20" s="870">
        <f>SUMIFS('2. DADOS DE ENTRADA'!AI:AI,'2. DADOS DE ENTRADA'!A:A,'7. TRANSBORDO'!A20,'2. DADOS DE ENTRADA'!B:B,'7. TRANSBORDO'!$C$11)+SUMIFS('2. DADOS DE ENTRADA'!AJ:AJ,'2. DADOS DE ENTRADA'!A:A,'7. TRANSBORDO'!A20,'2. DADOS DE ENTRADA'!B:B,'7. TRANSBORDO'!$C$11)</f>
        <v>0</v>
      </c>
      <c r="F20" s="858">
        <f>G19</f>
        <v>4963.683603457921</v>
      </c>
      <c r="G20" s="858">
        <f>E20*F20</f>
        <v>0</v>
      </c>
      <c r="H20" s="859"/>
      <c r="I20" s="357"/>
    </row>
    <row r="21" spans="1:10" x14ac:dyDescent="0.2">
      <c r="A21" s="192" t="s">
        <v>93</v>
      </c>
      <c r="B21" s="335" t="str">
        <f>IF(C21="","",$B$11&amp;"."&amp;COUNT($F$12:F21))</f>
        <v>1.1.7</v>
      </c>
      <c r="C21" s="189" t="s">
        <v>672</v>
      </c>
      <c r="D21" s="193" t="s">
        <v>25</v>
      </c>
      <c r="E21" s="870">
        <f>SUMIFS('2. DADOS DE ENTRADA'!AL:AL,'2. DADOS DE ENTRADA'!A:A,'5. COLETA URBANA SEDE.DISTRITOS'!A22,'2. DADOS DE ENTRADA'!B:B,'5. COLETA URBANA SEDE.DISTRITOS'!$C$12)</f>
        <v>0</v>
      </c>
      <c r="F21" s="858">
        <f>G19</f>
        <v>4963.683603457921</v>
      </c>
      <c r="G21" s="858">
        <f>E21*F21</f>
        <v>0</v>
      </c>
      <c r="H21" s="871"/>
    </row>
    <row r="22" spans="1:10" x14ac:dyDescent="0.2">
      <c r="A22" s="192" t="s">
        <v>104</v>
      </c>
      <c r="B22" s="335" t="str">
        <f>IF(C22="","",$B$11&amp;"."&amp;COUNT($F$12:F22))</f>
        <v>1.1.8</v>
      </c>
      <c r="C22" s="192" t="s">
        <v>29</v>
      </c>
      <c r="D22" s="190" t="s">
        <v>4</v>
      </c>
      <c r="E22" s="870">
        <f>SUMIFS('2. DADOS DE ENTRADA'!C:C,'2. DADOS DE ENTRADA'!A:A,'7. TRANSBORDO'!A22,'2. DADOS DE ENTRADA'!B:B,'7. TRANSBORDO'!$C$11)</f>
        <v>26</v>
      </c>
      <c r="F22" s="858">
        <f>'3. PREÇOS UNITÁRIOS'!D27/E22</f>
        <v>12.594230769230769</v>
      </c>
      <c r="G22" s="858">
        <f>E22*F22</f>
        <v>327.45</v>
      </c>
      <c r="H22" s="872"/>
      <c r="I22" s="470"/>
      <c r="J22" s="471"/>
    </row>
    <row r="23" spans="1:10" x14ac:dyDescent="0.2">
      <c r="A23" s="192" t="s">
        <v>93</v>
      </c>
      <c r="B23" s="335" t="str">
        <f>IF(C23="","",$B$11&amp;"."&amp;COUNT($F$12:F23))</f>
        <v>1.1.9</v>
      </c>
      <c r="C23" s="192" t="s">
        <v>28</v>
      </c>
      <c r="D23" s="190" t="s">
        <v>25</v>
      </c>
      <c r="E23" s="870">
        <f>E20+E21</f>
        <v>0</v>
      </c>
      <c r="F23" s="858">
        <f>'3. PREÇOS UNITÁRIOS'!D27</f>
        <v>327.45</v>
      </c>
      <c r="G23" s="858">
        <f>F23*E23</f>
        <v>0</v>
      </c>
      <c r="H23" s="871"/>
    </row>
    <row r="24" spans="1:10" x14ac:dyDescent="0.2">
      <c r="B24" s="335" t="str">
        <f>IF(C24="","",$B$11&amp;"."&amp;COUNT($F$12:F24))</f>
        <v>1.1.10</v>
      </c>
      <c r="C24" s="192" t="s">
        <v>638</v>
      </c>
      <c r="D24" s="190" t="s">
        <v>25</v>
      </c>
      <c r="E24" s="870">
        <f>E23</f>
        <v>0</v>
      </c>
      <c r="F24" s="858">
        <f>'3. PREÇOS UNITÁRIOS'!D29</f>
        <v>40</v>
      </c>
      <c r="G24" s="858">
        <f>F24*E24</f>
        <v>0</v>
      </c>
      <c r="H24" s="871"/>
    </row>
    <row r="25" spans="1:10" ht="15" x14ac:dyDescent="0.25">
      <c r="A25" s="379"/>
      <c r="B25" s="528"/>
      <c r="C25" s="529"/>
      <c r="D25" s="529"/>
      <c r="E25" s="1073"/>
      <c r="F25" s="1074" t="s">
        <v>284</v>
      </c>
      <c r="G25" s="1075">
        <f>G20+G21+G23+G24</f>
        <v>0</v>
      </c>
      <c r="H25" s="1076"/>
      <c r="I25" s="347"/>
    </row>
    <row r="26" spans="1:10" s="192" customFormat="1" ht="15" x14ac:dyDescent="0.25">
      <c r="B26" s="345"/>
      <c r="D26" s="190"/>
      <c r="E26" s="857"/>
      <c r="F26" s="877"/>
      <c r="G26" s="878"/>
      <c r="H26" s="871"/>
      <c r="I26" s="357"/>
    </row>
    <row r="27" spans="1:10" ht="15" x14ac:dyDescent="0.25">
      <c r="B27" s="486" t="s">
        <v>89</v>
      </c>
      <c r="C27" s="487" t="s">
        <v>30</v>
      </c>
      <c r="D27" s="488"/>
      <c r="E27" s="1077"/>
      <c r="F27" s="1077"/>
      <c r="G27" s="1077"/>
      <c r="H27" s="1078"/>
      <c r="I27" s="357"/>
    </row>
    <row r="28" spans="1:10" x14ac:dyDescent="0.2">
      <c r="A28" s="192" t="s">
        <v>96</v>
      </c>
      <c r="B28" s="335" t="str">
        <f>IF(C28="","",$B$27&amp;"."&amp;COUNT($F$28:F28))</f>
        <v>1.2.1</v>
      </c>
      <c r="C28" s="192" t="s">
        <v>20</v>
      </c>
      <c r="D28" s="190" t="s">
        <v>21</v>
      </c>
      <c r="E28" s="857">
        <f>SUMIFS('2. DADOS DE ENTRADA'!C:C,'2. DADOS DE ENTRADA'!A:A,'7. TRANSBORDO'!A28,'2. DADOS DE ENTRADA'!B:B,'7. TRANSBORDO'!$C$27)</f>
        <v>133</v>
      </c>
      <c r="F28" s="858">
        <f>'3. PREÇOS UNITÁRIOS'!D23/'7. TRANSBORDO'!E28</f>
        <v>12.233185714285714</v>
      </c>
      <c r="G28" s="858">
        <f>E28*F28</f>
        <v>1627.0137</v>
      </c>
      <c r="H28" s="859"/>
      <c r="I28" s="357"/>
    </row>
    <row r="29" spans="1:10" x14ac:dyDescent="0.2">
      <c r="A29" s="192" t="s">
        <v>88</v>
      </c>
      <c r="B29" s="335" t="str">
        <f>IF(C29="","",$B$27&amp;"."&amp;COUNT($F$28:F29))</f>
        <v>1.2.2</v>
      </c>
      <c r="C29" s="192" t="s">
        <v>22</v>
      </c>
      <c r="D29" s="190" t="s">
        <v>1</v>
      </c>
      <c r="E29" s="860">
        <f>SUMIFS('2. DADOS DE ENTRADA'!C:C,'2. DADOS DE ENTRADA'!A:A,'7. TRANSBORDO'!A29,'2. DADOS DE ENTRADA'!B:B,'7. TRANSBORDO'!$C$27)</f>
        <v>0.4</v>
      </c>
      <c r="F29" s="858">
        <f>'3. PREÇOS UNITÁRIOS'!D21</f>
        <v>1412</v>
      </c>
      <c r="G29" s="858">
        <f>E29*F29</f>
        <v>564.80000000000007</v>
      </c>
      <c r="H29" s="859"/>
      <c r="I29" s="472"/>
      <c r="J29" s="473"/>
    </row>
    <row r="30" spans="1:10" ht="15" x14ac:dyDescent="0.25">
      <c r="B30" s="335"/>
      <c r="D30" s="190"/>
      <c r="E30" s="860"/>
      <c r="F30" s="858"/>
      <c r="G30" s="861">
        <f>SUM(G28:G29)</f>
        <v>2191.8137000000002</v>
      </c>
      <c r="H30" s="859"/>
      <c r="I30" s="472"/>
      <c r="J30" s="473"/>
    </row>
    <row r="31" spans="1:10" s="192" customFormat="1" ht="15" x14ac:dyDescent="0.25">
      <c r="A31" s="192" t="s">
        <v>109</v>
      </c>
      <c r="B31" s="335" t="str">
        <f>IF(C31="","",$B$27&amp;"."&amp;COUNT($F$28:F31))</f>
        <v>1.2.3</v>
      </c>
      <c r="C31" s="192" t="s">
        <v>254</v>
      </c>
      <c r="D31" s="190" t="s">
        <v>21</v>
      </c>
      <c r="E31" s="857">
        <f>SUMIFS('2. DADOS DE ENTRADA'!D:D,'2. DADOS DE ENTRADA'!A:A,'7. TRANSBORDO'!A31,'2. DADOS DE ENTRADA'!B:B,'7. TRANSBORDO'!C27)</f>
        <v>0</v>
      </c>
      <c r="F31" s="858">
        <f>(G30/E28)*1.5</f>
        <v>24.719703383458651</v>
      </c>
      <c r="G31" s="858">
        <f>(E31)*F31</f>
        <v>0</v>
      </c>
      <c r="H31" s="1079"/>
      <c r="I31" s="357"/>
    </row>
    <row r="32" spans="1:10" s="192" customFormat="1" ht="15" x14ac:dyDescent="0.25">
      <c r="A32" s="192" t="s">
        <v>95</v>
      </c>
      <c r="B32" s="335" t="str">
        <f>IF(C32="","",$B$27&amp;"."&amp;COUNT($F$28:F32))</f>
        <v>1.2.4</v>
      </c>
      <c r="C32" s="192" t="s">
        <v>255</v>
      </c>
      <c r="D32" s="190" t="s">
        <v>21</v>
      </c>
      <c r="E32" s="857">
        <f>SUMIFS('2. DADOS DE ENTRADA'!D:D,'2. DADOS DE ENTRADA'!A:A,'7. TRANSBORDO'!A32,'2. DADOS DE ENTRADA'!B:B,'7. TRANSBORDO'!C27)</f>
        <v>0</v>
      </c>
      <c r="F32" s="858">
        <f>(G30/F28)*2</f>
        <v>358.33898890955868</v>
      </c>
      <c r="G32" s="858">
        <f>(E32)*F32</f>
        <v>0</v>
      </c>
      <c r="H32" s="1079"/>
      <c r="I32" s="357"/>
    </row>
    <row r="33" spans="1:9" s="192" customFormat="1" ht="15" x14ac:dyDescent="0.25">
      <c r="A33" s="379"/>
      <c r="B33" s="523" t="str">
        <f>IF(C33="","",$B$27&amp;"."&amp;COUNT($F$28:F33))</f>
        <v/>
      </c>
      <c r="C33" s="524"/>
      <c r="D33" s="524"/>
      <c r="E33" s="1069"/>
      <c r="F33" s="1070" t="s">
        <v>352</v>
      </c>
      <c r="G33" s="1071">
        <f>G30+G31+G32</f>
        <v>2191.8137000000002</v>
      </c>
      <c r="H33" s="1072"/>
      <c r="I33" s="357"/>
    </row>
    <row r="34" spans="1:9" x14ac:dyDescent="0.2">
      <c r="A34" s="192" t="s">
        <v>273</v>
      </c>
      <c r="B34" s="335" t="str">
        <f>IF(C34="","",$B$27&amp;"."&amp;COUNT($F$28:F34))</f>
        <v>1.2.5</v>
      </c>
      <c r="C34" s="192" t="s">
        <v>23</v>
      </c>
      <c r="D34" s="190" t="s">
        <v>1</v>
      </c>
      <c r="E34" s="869">
        <f>SUMIFS('2. DADOS DE ENTRADA'!C:C,'2. DADOS DE ENTRADA'!A:A,'7. TRANSBORDO'!A34,'2. DADOS DE ENTRADA'!B:B,'7. TRANSBORDO'!$C$27)</f>
        <v>0.71101040000000004</v>
      </c>
      <c r="F34" s="858">
        <f>G33</f>
        <v>2191.8137000000002</v>
      </c>
      <c r="G34" s="858">
        <f>(E34)*F34</f>
        <v>1558.4023355624802</v>
      </c>
      <c r="H34" s="859"/>
      <c r="I34" s="357"/>
    </row>
    <row r="35" spans="1:9" ht="15" x14ac:dyDescent="0.25">
      <c r="A35" s="379"/>
      <c r="B35" s="523" t="str">
        <f>IF(C35="","",$B$27&amp;"."&amp;COUNT($F$28:F35))</f>
        <v/>
      </c>
      <c r="C35" s="524"/>
      <c r="D35" s="524"/>
      <c r="E35" s="1069"/>
      <c r="F35" s="1070" t="s">
        <v>353</v>
      </c>
      <c r="G35" s="1071">
        <f>G33+G34</f>
        <v>3750.2160355624801</v>
      </c>
      <c r="H35" s="1072"/>
      <c r="I35" s="357"/>
    </row>
    <row r="36" spans="1:9" x14ac:dyDescent="0.2">
      <c r="A36" s="192" t="s">
        <v>93</v>
      </c>
      <c r="B36" s="335" t="str">
        <f>IF(C36="","",$B$27&amp;"."&amp;COUNT($F$28:F36))</f>
        <v>1.2.6</v>
      </c>
      <c r="C36" s="192" t="s">
        <v>31</v>
      </c>
      <c r="D36" s="190" t="s">
        <v>25</v>
      </c>
      <c r="E36" s="870">
        <f>SUMIFS('2. DADOS DE ENTRADA'!AI:AI,'2. DADOS DE ENTRADA'!A:A,'7. TRANSBORDO'!A36,'2. DADOS DE ENTRADA'!B:B,'7. TRANSBORDO'!$C$27)+SUMIFS('2. DADOS DE ENTRADA'!AJ:AJ,'2. DADOS DE ENTRADA'!A:A,'7. TRANSBORDO'!A36,'2. DADOS DE ENTRADA'!B:B,'7. TRANSBORDO'!$C$27)</f>
        <v>0</v>
      </c>
      <c r="F36" s="858">
        <f>G35</f>
        <v>3750.2160355624801</v>
      </c>
      <c r="G36" s="858">
        <f>E36*F36</f>
        <v>0</v>
      </c>
      <c r="H36" s="859"/>
      <c r="I36" s="357"/>
    </row>
    <row r="37" spans="1:9" x14ac:dyDescent="0.2">
      <c r="A37" s="192" t="s">
        <v>93</v>
      </c>
      <c r="B37" s="335" t="str">
        <f>IF(C37="","",$B$27&amp;"."&amp;COUNT($F$28:F37))</f>
        <v>1.2.7</v>
      </c>
      <c r="C37" s="189" t="s">
        <v>26</v>
      </c>
      <c r="D37" s="193" t="s">
        <v>25</v>
      </c>
      <c r="E37" s="870">
        <f>SUMIFS('2. DADOS DE ENTRADA'!AL:AL,'2. DADOS DE ENTRADA'!A:A,'7. TRANSBORDO'!A37,'2. DADOS DE ENTRADA'!B:B,'7. TRANSBORDO'!$C$27)</f>
        <v>0</v>
      </c>
      <c r="F37" s="858">
        <f>G35</f>
        <v>3750.2160355624801</v>
      </c>
      <c r="G37" s="858">
        <f>E37*F37</f>
        <v>0</v>
      </c>
      <c r="H37" s="871"/>
    </row>
    <row r="38" spans="1:9" x14ac:dyDescent="0.2">
      <c r="A38" s="192" t="s">
        <v>104</v>
      </c>
      <c r="B38" s="335" t="str">
        <f>IF(C38="","",$B$27&amp;"."&amp;COUNT($F$28:F38))</f>
        <v>1.2.8</v>
      </c>
      <c r="C38" s="192" t="s">
        <v>29</v>
      </c>
      <c r="D38" s="190" t="s">
        <v>4</v>
      </c>
      <c r="E38" s="870">
        <f>SUMIFS('2. DADOS DE ENTRADA'!C:C,'2. DADOS DE ENTRADA'!A:A,'7. TRANSBORDO'!A38,'2. DADOS DE ENTRADA'!B:B,'7. TRANSBORDO'!$C$27)</f>
        <v>26</v>
      </c>
      <c r="F38" s="858">
        <f>'3. PREÇOS UNITÁRIOS'!D27/E38</f>
        <v>12.594230769230769</v>
      </c>
      <c r="G38" s="858">
        <f>E38*F38</f>
        <v>327.45</v>
      </c>
      <c r="H38" s="871"/>
      <c r="I38" s="470"/>
    </row>
    <row r="39" spans="1:9" x14ac:dyDescent="0.2">
      <c r="A39" s="192" t="s">
        <v>93</v>
      </c>
      <c r="B39" s="335" t="str">
        <f>IF(C39="","",$B$27&amp;"."&amp;COUNT($F$28:F39))</f>
        <v>1.2.9</v>
      </c>
      <c r="C39" s="192" t="s">
        <v>32</v>
      </c>
      <c r="D39" s="190" t="s">
        <v>25</v>
      </c>
      <c r="E39" s="870">
        <f>E36+E37</f>
        <v>0</v>
      </c>
      <c r="F39" s="858">
        <f>'3. PREÇOS UNITÁRIOS'!D27</f>
        <v>327.45</v>
      </c>
      <c r="G39" s="858">
        <f>F39*E39</f>
        <v>0</v>
      </c>
      <c r="H39" s="871"/>
    </row>
    <row r="40" spans="1:9" x14ac:dyDescent="0.2">
      <c r="B40" s="335" t="str">
        <f>IF(C40="","",$B$27&amp;"."&amp;COUNT($F$28:F40))</f>
        <v>1.2.10</v>
      </c>
      <c r="C40" s="192" t="s">
        <v>638</v>
      </c>
      <c r="D40" s="190" t="s">
        <v>25</v>
      </c>
      <c r="E40" s="870">
        <f>E39</f>
        <v>0</v>
      </c>
      <c r="F40" s="858">
        <f>'3. PREÇOS UNITÁRIOS'!D29</f>
        <v>40</v>
      </c>
      <c r="G40" s="858">
        <f>F40*E40</f>
        <v>0</v>
      </c>
      <c r="H40" s="871"/>
    </row>
    <row r="41" spans="1:9" ht="15" x14ac:dyDescent="0.25">
      <c r="A41" s="379"/>
      <c r="B41" s="528" t="str">
        <f>IF(C41="","",$B$27&amp;"."&amp;COUNT($F$28:F41))</f>
        <v/>
      </c>
      <c r="C41" s="529"/>
      <c r="D41" s="529"/>
      <c r="E41" s="1073"/>
      <c r="F41" s="1074" t="s">
        <v>285</v>
      </c>
      <c r="G41" s="1075">
        <f>G36+G37+G39+G40</f>
        <v>0</v>
      </c>
      <c r="H41" s="1080"/>
      <c r="I41" s="357"/>
    </row>
    <row r="42" spans="1:9" ht="15" x14ac:dyDescent="0.25">
      <c r="B42" s="335"/>
      <c r="C42" s="189"/>
      <c r="D42" s="193"/>
      <c r="E42" s="862"/>
      <c r="F42" s="882"/>
      <c r="G42" s="883"/>
      <c r="H42" s="884"/>
      <c r="I42" s="403"/>
    </row>
    <row r="43" spans="1:9" ht="15" x14ac:dyDescent="0.2">
      <c r="B43" s="489"/>
      <c r="C43" s="490"/>
      <c r="D43" s="490"/>
      <c r="E43" s="1081" t="s">
        <v>34</v>
      </c>
      <c r="F43" s="1081"/>
      <c r="G43" s="1082">
        <f>G41+G25</f>
        <v>0</v>
      </c>
      <c r="H43" s="1083"/>
      <c r="I43" s="357"/>
    </row>
    <row r="44" spans="1:9" s="196" customFormat="1" ht="15" x14ac:dyDescent="0.25">
      <c r="A44" s="201"/>
      <c r="B44" s="534"/>
      <c r="E44" s="1084"/>
      <c r="F44" s="1084"/>
      <c r="G44" s="1084"/>
      <c r="H44" s="1085"/>
      <c r="I44" s="347"/>
    </row>
    <row r="45" spans="1:9" ht="15" x14ac:dyDescent="0.2">
      <c r="B45" s="493" t="s">
        <v>5</v>
      </c>
      <c r="C45" s="494" t="s">
        <v>72</v>
      </c>
      <c r="D45" s="495"/>
      <c r="E45" s="1086"/>
      <c r="F45" s="1086"/>
      <c r="G45" s="1086"/>
      <c r="H45" s="1087"/>
      <c r="I45" s="357"/>
    </row>
    <row r="46" spans="1:9" ht="15" x14ac:dyDescent="0.2">
      <c r="B46" s="322"/>
      <c r="C46" s="323"/>
      <c r="D46" s="154"/>
      <c r="E46" s="1012"/>
      <c r="F46" s="1012"/>
      <c r="G46" s="1012"/>
      <c r="H46" s="1013"/>
      <c r="I46" s="357"/>
    </row>
    <row r="47" spans="1:9" ht="15" x14ac:dyDescent="0.2">
      <c r="B47" s="420" t="s">
        <v>7</v>
      </c>
      <c r="C47" s="422" t="s">
        <v>8</v>
      </c>
      <c r="D47" s="422" t="s">
        <v>9</v>
      </c>
      <c r="E47" s="1041" t="s">
        <v>10</v>
      </c>
      <c r="F47" s="1041" t="s">
        <v>11</v>
      </c>
      <c r="G47" s="1041" t="s">
        <v>12</v>
      </c>
      <c r="H47" s="1042"/>
      <c r="I47" s="190"/>
    </row>
    <row r="48" spans="1:9" ht="15" x14ac:dyDescent="0.25">
      <c r="B48" s="497" t="s">
        <v>91</v>
      </c>
      <c r="C48" s="498" t="s">
        <v>281</v>
      </c>
      <c r="D48" s="499"/>
      <c r="E48" s="1088"/>
      <c r="F48" s="1088"/>
      <c r="G48" s="1088"/>
      <c r="H48" s="1089"/>
      <c r="I48" s="357"/>
    </row>
    <row r="49" spans="1:10" x14ac:dyDescent="0.2">
      <c r="A49" s="192" t="s">
        <v>92</v>
      </c>
      <c r="B49" s="335" t="str">
        <f>IF(C49="","",$B$48&amp;"."&amp;COUNT($F$49:F49))</f>
        <v>2.1.0</v>
      </c>
      <c r="C49" s="189" t="s">
        <v>87</v>
      </c>
      <c r="D49" s="193" t="s">
        <v>25</v>
      </c>
      <c r="E49" s="862">
        <f>SUMIFS('2. DADOS DE ENTRADA'!H:H,'2. DADOS DE ENTRADA'!A:A,'7. TRANSBORDO'!A49,'2. DADOS DE ENTRADA'!B:B,'7. TRANSBORDO'!C48)</f>
        <v>1</v>
      </c>
      <c r="F49" s="994"/>
      <c r="G49" s="994"/>
      <c r="H49" s="904"/>
      <c r="I49" s="403"/>
    </row>
    <row r="50" spans="1:10" x14ac:dyDescent="0.2">
      <c r="A50" s="192" t="s">
        <v>96</v>
      </c>
      <c r="B50" s="335" t="str">
        <f>IF(C50="","",$B$48&amp;"."&amp;COUNT($F$49:F50))</f>
        <v>2.1.1</v>
      </c>
      <c r="C50" s="189" t="s">
        <v>20</v>
      </c>
      <c r="D50" s="193" t="s">
        <v>21</v>
      </c>
      <c r="E50" s="862">
        <f>SUMIFS('2. DADOS DE ENTRADA'!C:C,'2. DADOS DE ENTRADA'!A:A,'7. TRANSBORDO'!A50,'2. DADOS DE ENTRADA'!B:B,'7. TRANSBORDO'!$C$48)</f>
        <v>120</v>
      </c>
      <c r="F50" s="858">
        <f>'3. PREÇOS UNITÁRIOS'!D24/'7. TRANSBORDO'!E50</f>
        <v>13.5584475</v>
      </c>
      <c r="G50" s="858">
        <f t="shared" ref="G50:G55" si="0">E50*F50</f>
        <v>1627.0137</v>
      </c>
      <c r="H50" s="904"/>
      <c r="I50" s="403"/>
    </row>
    <row r="51" spans="1:10" x14ac:dyDescent="0.2">
      <c r="A51" s="192" t="s">
        <v>275</v>
      </c>
      <c r="B51" s="335" t="str">
        <f>IF(C51="","",$B$48&amp;"."&amp;COUNT($F$49:F51))</f>
        <v>2.1.2</v>
      </c>
      <c r="C51" s="189" t="s">
        <v>33</v>
      </c>
      <c r="D51" s="193" t="s">
        <v>1</v>
      </c>
      <c r="E51" s="1090">
        <f>SUMIFS('2. DADOS DE ENTRADA'!C:C,'2. DADOS DE ENTRADA'!A:A,'7. TRANSBORDO'!A51,'2. DADOS DE ENTRADA'!B:B,'7. TRANSBORDO'!$C$48)</f>
        <v>0</v>
      </c>
      <c r="F51" s="858">
        <f>G50</f>
        <v>1627.0137</v>
      </c>
      <c r="G51" s="858">
        <f t="shared" si="0"/>
        <v>0</v>
      </c>
      <c r="H51" s="904"/>
      <c r="I51" s="403"/>
    </row>
    <row r="52" spans="1:10" x14ac:dyDescent="0.2">
      <c r="A52" s="192" t="s">
        <v>88</v>
      </c>
      <c r="B52" s="335" t="str">
        <f>IF(C52="","",$B$48&amp;"."&amp;COUNT($F$49:F52))</f>
        <v>2.1.3</v>
      </c>
      <c r="C52" s="189" t="s">
        <v>22</v>
      </c>
      <c r="D52" s="193" t="s">
        <v>1</v>
      </c>
      <c r="E52" s="1090">
        <f>SUMIFS('2. DADOS DE ENTRADA'!C:C,'2. DADOS DE ENTRADA'!A:A,'7. TRANSBORDO'!A52,'2. DADOS DE ENTRADA'!B:B,'7. TRANSBORDO'!$C$48)</f>
        <v>0.4</v>
      </c>
      <c r="F52" s="858">
        <f>'3. PREÇOS UNITÁRIOS'!D21</f>
        <v>1412</v>
      </c>
      <c r="G52" s="858">
        <f t="shared" si="0"/>
        <v>564.80000000000007</v>
      </c>
      <c r="H52" s="904"/>
      <c r="I52" s="403"/>
      <c r="J52" s="224"/>
    </row>
    <row r="53" spans="1:10" ht="15" x14ac:dyDescent="0.25">
      <c r="B53" s="335"/>
      <c r="C53" s="189"/>
      <c r="D53" s="193"/>
      <c r="E53" s="1090"/>
      <c r="F53" s="858"/>
      <c r="G53" s="861">
        <f>SUM(G50:G52)</f>
        <v>2191.8137000000002</v>
      </c>
      <c r="H53" s="904"/>
      <c r="I53" s="403"/>
      <c r="J53" s="224"/>
    </row>
    <row r="54" spans="1:10" x14ac:dyDescent="0.2">
      <c r="A54" s="192" t="s">
        <v>109</v>
      </c>
      <c r="B54" s="335" t="str">
        <f>IF(C54="","",$B$48&amp;"."&amp;COUNT($F$49:F54))</f>
        <v>2.1.4</v>
      </c>
      <c r="C54" s="189" t="s">
        <v>254</v>
      </c>
      <c r="D54" s="193" t="s">
        <v>35</v>
      </c>
      <c r="E54" s="862">
        <f>SUMIFS('2. DADOS DE ENTRADA'!D:D,'2. DADOS DE ENTRADA'!A:A,'7. TRANSBORDO'!A54,'2. DADOS DE ENTRADA'!B:B,'7. TRANSBORDO'!C48)</f>
        <v>0</v>
      </c>
      <c r="F54" s="858">
        <f>(G53/E50)*1.5</f>
        <v>27.397671250000002</v>
      </c>
      <c r="G54" s="858">
        <f t="shared" si="0"/>
        <v>0</v>
      </c>
      <c r="H54" s="884"/>
      <c r="I54" s="189"/>
    </row>
    <row r="55" spans="1:10" x14ac:dyDescent="0.2">
      <c r="A55" s="204" t="s">
        <v>95</v>
      </c>
      <c r="B55" s="335" t="str">
        <f>IF(C55="","",$B$48&amp;"."&amp;COUNT($F$49:F55))</f>
        <v>2.1.5</v>
      </c>
      <c r="C55" s="189" t="s">
        <v>255</v>
      </c>
      <c r="D55" s="193" t="s">
        <v>35</v>
      </c>
      <c r="E55" s="862">
        <f>SUMIFS('2. DADOS DE ENTRADA'!D:D,'2. DADOS DE ENTRADA'!A:A,'7. TRANSBORDO'!A55,'2. DADOS DE ENTRADA'!B:B,'7. TRANSBORDO'!C48)</f>
        <v>0</v>
      </c>
      <c r="F55" s="858">
        <f>(G53/E50)*2</f>
        <v>36.530228333333334</v>
      </c>
      <c r="G55" s="858">
        <f t="shared" si="0"/>
        <v>0</v>
      </c>
      <c r="H55" s="884"/>
      <c r="I55" s="189"/>
    </row>
    <row r="56" spans="1:10" ht="15" x14ac:dyDescent="0.25">
      <c r="A56" s="379"/>
      <c r="B56" s="523" t="str">
        <f>IF(C56="","",$B$48&amp;"."&amp;COUNT($F$49:F56))</f>
        <v/>
      </c>
      <c r="C56" s="524"/>
      <c r="D56" s="524"/>
      <c r="E56" s="1069"/>
      <c r="F56" s="1070" t="s">
        <v>352</v>
      </c>
      <c r="G56" s="1071">
        <f>G53+G54+G55</f>
        <v>2191.8137000000002</v>
      </c>
      <c r="H56" s="1072"/>
      <c r="I56" s="189"/>
    </row>
    <row r="57" spans="1:10" x14ac:dyDescent="0.2">
      <c r="A57" s="192" t="s">
        <v>273</v>
      </c>
      <c r="B57" s="335" t="str">
        <f>IF(C57="","",$B$48&amp;"."&amp;COUNT($F$49:F57))</f>
        <v>2.1.6</v>
      </c>
      <c r="C57" s="189" t="s">
        <v>23</v>
      </c>
      <c r="D57" s="193" t="s">
        <v>1</v>
      </c>
      <c r="E57" s="903">
        <f>SUMIFS('2. DADOS DE ENTRADA'!C:C,'2. DADOS DE ENTRADA'!A:A,'7. TRANSBORDO'!A57,'2. DADOS DE ENTRADA'!B:B,'7. TRANSBORDO'!$C$48)</f>
        <v>0.71101040000000004</v>
      </c>
      <c r="F57" s="863">
        <f>G56</f>
        <v>2191.8137000000002</v>
      </c>
      <c r="G57" s="863">
        <f>(E57)*F57</f>
        <v>1558.4023355624802</v>
      </c>
      <c r="H57" s="904"/>
      <c r="I57" s="403"/>
    </row>
    <row r="58" spans="1:10" ht="15" x14ac:dyDescent="0.25">
      <c r="A58" s="379"/>
      <c r="B58" s="523" t="str">
        <f>IF(C58="","",$B$48&amp;"."&amp;COUNT($F$49:F58))</f>
        <v/>
      </c>
      <c r="C58" s="524"/>
      <c r="D58" s="524"/>
      <c r="E58" s="1069"/>
      <c r="F58" s="1070" t="s">
        <v>352</v>
      </c>
      <c r="G58" s="1071">
        <f>G57+G56</f>
        <v>3750.2160355624801</v>
      </c>
      <c r="H58" s="1072"/>
      <c r="I58" s="357"/>
    </row>
    <row r="59" spans="1:10" s="192" customFormat="1" ht="14.25" customHeight="1" x14ac:dyDescent="0.2">
      <c r="A59" s="379" t="s">
        <v>92</v>
      </c>
      <c r="B59" s="335" t="str">
        <f>IF(C59="","",$B$48&amp;"."&amp;COUNT($F$49:F59))</f>
        <v>2.1.7</v>
      </c>
      <c r="C59" s="189" t="s">
        <v>396</v>
      </c>
      <c r="D59" s="193" t="s">
        <v>25</v>
      </c>
      <c r="E59" s="862">
        <f>E49</f>
        <v>1</v>
      </c>
      <c r="F59" s="1091">
        <f>G58</f>
        <v>3750.2160355624801</v>
      </c>
      <c r="G59" s="858">
        <f>F59*E59</f>
        <v>3750.2160355624801</v>
      </c>
      <c r="H59" s="905"/>
      <c r="I59" s="357"/>
    </row>
    <row r="60" spans="1:10" x14ac:dyDescent="0.2">
      <c r="A60" s="192" t="s">
        <v>104</v>
      </c>
      <c r="B60" s="335" t="str">
        <f>IF(C60="","",$B$48&amp;"."&amp;COUNT($F$49:F60))</f>
        <v>2.1.8</v>
      </c>
      <c r="C60" s="192" t="s">
        <v>29</v>
      </c>
      <c r="D60" s="190" t="s">
        <v>4</v>
      </c>
      <c r="E60" s="870">
        <f>SUMIFS('2. DADOS DE ENTRADA'!C:C,'2. DADOS DE ENTRADA'!A:A,'7. TRANSBORDO'!A60,'2. DADOS DE ENTRADA'!B:B,'7. TRANSBORDO'!$C$48)</f>
        <v>26</v>
      </c>
      <c r="F60" s="858">
        <f>'3. PREÇOS UNITÁRIOS'!D27/'7. TRANSBORDO'!E60</f>
        <v>12.594230769230769</v>
      </c>
      <c r="G60" s="858">
        <f>E60*F60</f>
        <v>327.45</v>
      </c>
      <c r="H60" s="871"/>
      <c r="I60" s="357"/>
    </row>
    <row r="61" spans="1:10" x14ac:dyDescent="0.2">
      <c r="B61" s="335" t="str">
        <f>IF(C61="","",$B$48&amp;"."&amp;COUNT($F$49:F61))</f>
        <v>2.1.9</v>
      </c>
      <c r="C61" s="192" t="s">
        <v>395</v>
      </c>
      <c r="D61" s="190" t="s">
        <v>25</v>
      </c>
      <c r="E61" s="870">
        <f>E49</f>
        <v>1</v>
      </c>
      <c r="F61" s="858">
        <f>G60</f>
        <v>327.45</v>
      </c>
      <c r="G61" s="858">
        <f>E61*F61</f>
        <v>327.45</v>
      </c>
      <c r="H61" s="871"/>
      <c r="I61" s="357"/>
    </row>
    <row r="62" spans="1:10" x14ac:dyDescent="0.2">
      <c r="B62" s="335" t="str">
        <f>IF(C62="","",$B$48&amp;"."&amp;COUNT($F$49:F62))</f>
        <v>2.1.10</v>
      </c>
      <c r="C62" s="192" t="s">
        <v>638</v>
      </c>
      <c r="D62" s="190" t="s">
        <v>25</v>
      </c>
      <c r="E62" s="870">
        <f>E61</f>
        <v>1</v>
      </c>
      <c r="F62" s="858">
        <f>'3. PREÇOS UNITÁRIOS'!D29</f>
        <v>40</v>
      </c>
      <c r="G62" s="858">
        <f>F62*E62</f>
        <v>40</v>
      </c>
      <c r="H62" s="871"/>
      <c r="I62" s="357"/>
    </row>
    <row r="63" spans="1:10" ht="15" x14ac:dyDescent="0.25">
      <c r="A63" s="379"/>
      <c r="B63" s="528" t="str">
        <f>IF(C63="","",$B$48&amp;"."&amp;COUNT($F$50:F64))</f>
        <v/>
      </c>
      <c r="C63" s="537"/>
      <c r="D63" s="537"/>
      <c r="E63" s="1092"/>
      <c r="F63" s="1074" t="s">
        <v>286</v>
      </c>
      <c r="G63" s="1075">
        <f>G59+G61+G62</f>
        <v>4117.6660355624799</v>
      </c>
      <c r="H63" s="1093"/>
      <c r="I63" s="357"/>
    </row>
    <row r="64" spans="1:10" x14ac:dyDescent="0.2">
      <c r="B64" s="335"/>
      <c r="D64" s="190"/>
      <c r="E64" s="857"/>
      <c r="F64" s="901"/>
      <c r="G64" s="901"/>
      <c r="H64" s="859"/>
      <c r="I64" s="357"/>
    </row>
    <row r="65" spans="1:9" ht="15" x14ac:dyDescent="0.25">
      <c r="B65" s="497" t="s">
        <v>93</v>
      </c>
      <c r="C65" s="498" t="s">
        <v>261</v>
      </c>
      <c r="D65" s="499"/>
      <c r="E65" s="1088"/>
      <c r="F65" s="1088"/>
      <c r="G65" s="1088"/>
      <c r="H65" s="1089"/>
      <c r="I65" s="357"/>
    </row>
    <row r="66" spans="1:9" x14ac:dyDescent="0.2">
      <c r="A66" s="192" t="s">
        <v>92</v>
      </c>
      <c r="B66" s="335" t="str">
        <f>IF(C66="","",$B$65&amp;"."&amp;COUNT($F$66:F66))</f>
        <v>2.2.0</v>
      </c>
      <c r="C66" s="192" t="s">
        <v>261</v>
      </c>
      <c r="D66" s="190" t="s">
        <v>25</v>
      </c>
      <c r="E66" s="857">
        <f>SUMIFS('2. DADOS DE ENTRADA'!H:H,'2. DADOS DE ENTRADA'!A:A,'7. TRANSBORDO'!A66,'2. DADOS DE ENTRADA'!B:B,'7. TRANSBORDO'!C65)</f>
        <v>0.5</v>
      </c>
      <c r="F66" s="901"/>
      <c r="G66" s="901"/>
      <c r="H66" s="859"/>
      <c r="I66" s="357"/>
    </row>
    <row r="67" spans="1:9" x14ac:dyDescent="0.2">
      <c r="A67" s="192" t="s">
        <v>96</v>
      </c>
      <c r="B67" s="335" t="str">
        <f>IF(C67="","",$B$65&amp;"."&amp;COUNT($F$66:F67))</f>
        <v>2.2.1</v>
      </c>
      <c r="C67" s="192" t="s">
        <v>20</v>
      </c>
      <c r="D67" s="190" t="s">
        <v>21</v>
      </c>
      <c r="E67" s="857">
        <f>SUMIFS('2. DADOS DE ENTRADA'!C:C,'2. DADOS DE ENTRADA'!A:A,'7. TRANSBORDO'!A67,'2. DADOS DE ENTRADA'!B:B,'7. TRANSBORDO'!$C$65)</f>
        <v>120</v>
      </c>
      <c r="F67" s="858">
        <f>'3. PREÇOS UNITÁRIOS'!D25/'7. TRANSBORDO'!E67</f>
        <v>13.5584475</v>
      </c>
      <c r="G67" s="858">
        <f t="shared" ref="G67:G72" si="1">E67*F67</f>
        <v>1627.0137</v>
      </c>
      <c r="H67" s="859"/>
      <c r="I67" s="357"/>
    </row>
    <row r="68" spans="1:9" x14ac:dyDescent="0.2">
      <c r="A68" s="192" t="s">
        <v>275</v>
      </c>
      <c r="B68" s="335" t="str">
        <f>IF(C68="","",$B$65&amp;"."&amp;COUNT($F$66:F68))</f>
        <v>2.2.2</v>
      </c>
      <c r="C68" s="192" t="s">
        <v>33</v>
      </c>
      <c r="D68" s="190" t="s">
        <v>1</v>
      </c>
      <c r="E68" s="902">
        <f>SUMIFS('2. DADOS DE ENTRADA'!C:C,'2. DADOS DE ENTRADA'!A:A,'7. TRANSBORDO'!A68,'2. DADOS DE ENTRADA'!B:B,'7. TRANSBORDO'!$C$65)</f>
        <v>0</v>
      </c>
      <c r="F68" s="858">
        <f>G67</f>
        <v>1627.0137</v>
      </c>
      <c r="G68" s="858">
        <f t="shared" si="1"/>
        <v>0</v>
      </c>
      <c r="H68" s="859"/>
      <c r="I68" s="357"/>
    </row>
    <row r="69" spans="1:9" x14ac:dyDescent="0.2">
      <c r="A69" s="192" t="s">
        <v>88</v>
      </c>
      <c r="B69" s="335" t="str">
        <f>IF(C69="","",$B$65&amp;"."&amp;COUNT($F$66:F69))</f>
        <v>2.2.3</v>
      </c>
      <c r="C69" s="192" t="s">
        <v>22</v>
      </c>
      <c r="D69" s="190" t="s">
        <v>1</v>
      </c>
      <c r="E69" s="902">
        <f>SUMIFS('2. DADOS DE ENTRADA'!C:C,'2. DADOS DE ENTRADA'!A:A,'7. TRANSBORDO'!A69,'2. DADOS DE ENTRADA'!B:B,'7. TRANSBORDO'!$C$65)</f>
        <v>0.4</v>
      </c>
      <c r="F69" s="858">
        <f>'3. PREÇOS UNITÁRIOS'!D21</f>
        <v>1412</v>
      </c>
      <c r="G69" s="858">
        <f t="shared" si="1"/>
        <v>564.80000000000007</v>
      </c>
      <c r="H69" s="859"/>
      <c r="I69" s="357"/>
    </row>
    <row r="70" spans="1:9" ht="15" x14ac:dyDescent="0.25">
      <c r="B70" s="335"/>
      <c r="D70" s="190"/>
      <c r="E70" s="902"/>
      <c r="F70" s="858"/>
      <c r="G70" s="861">
        <f>SUM(G67:G69)</f>
        <v>2191.8137000000002</v>
      </c>
      <c r="H70" s="859"/>
      <c r="I70" s="357"/>
    </row>
    <row r="71" spans="1:9" x14ac:dyDescent="0.2">
      <c r="A71" s="192" t="s">
        <v>109</v>
      </c>
      <c r="B71" s="335" t="str">
        <f>IF(C71="","",$B$65&amp;"."&amp;COUNT($F$66:F71))</f>
        <v>2.2.4</v>
      </c>
      <c r="C71" s="189" t="s">
        <v>254</v>
      </c>
      <c r="D71" s="193" t="s">
        <v>35</v>
      </c>
      <c r="E71" s="862">
        <f>SUMIFS('2. DADOS DE ENTRADA'!D:D,'2. DADOS DE ENTRADA'!A:A,'7. TRANSBORDO'!A71,'2. DADOS DE ENTRADA'!B:B,'7. TRANSBORDO'!C65)*E66</f>
        <v>0</v>
      </c>
      <c r="F71" s="858">
        <f>(G70/E67)*1.5</f>
        <v>27.397671250000002</v>
      </c>
      <c r="G71" s="858">
        <f t="shared" si="1"/>
        <v>0</v>
      </c>
      <c r="H71" s="884"/>
      <c r="I71" s="403"/>
    </row>
    <row r="72" spans="1:9" x14ac:dyDescent="0.2">
      <c r="A72" s="204" t="s">
        <v>95</v>
      </c>
      <c r="B72" s="335" t="str">
        <f>IF(C72="","",$B$65&amp;"."&amp;COUNT($F$66:F72))</f>
        <v>2.2.5</v>
      </c>
      <c r="C72" s="189" t="s">
        <v>255</v>
      </c>
      <c r="D72" s="193" t="s">
        <v>35</v>
      </c>
      <c r="E72" s="862">
        <f>SUMIFS('2. DADOS DE ENTRADA'!D:D,'2. DADOS DE ENTRADA'!A:A,'7. TRANSBORDO'!A72,'2. DADOS DE ENTRADA'!B:B,'7. TRANSBORDO'!C65)*E66</f>
        <v>0</v>
      </c>
      <c r="F72" s="858">
        <f>(G70/E67)*2</f>
        <v>36.530228333333334</v>
      </c>
      <c r="G72" s="858">
        <f t="shared" si="1"/>
        <v>0</v>
      </c>
      <c r="H72" s="884"/>
      <c r="I72" s="403"/>
    </row>
    <row r="73" spans="1:9" ht="15" x14ac:dyDescent="0.25">
      <c r="A73" s="379"/>
      <c r="B73" s="523" t="str">
        <f>IF(C73="","",$B$65&amp;"."&amp;COUNT($F$66:F73))</f>
        <v/>
      </c>
      <c r="C73" s="524"/>
      <c r="D73" s="524"/>
      <c r="E73" s="1069"/>
      <c r="F73" s="1070" t="s">
        <v>352</v>
      </c>
      <c r="G73" s="1071">
        <f>G70+G71+G72</f>
        <v>2191.8137000000002</v>
      </c>
      <c r="H73" s="1072"/>
      <c r="I73" s="403"/>
    </row>
    <row r="74" spans="1:9" x14ac:dyDescent="0.2">
      <c r="A74" s="192" t="s">
        <v>273</v>
      </c>
      <c r="B74" s="335" t="str">
        <f>IF(C74="","",$B$65&amp;"."&amp;COUNT($F$66:F74))</f>
        <v>2.2.6</v>
      </c>
      <c r="C74" s="189" t="s">
        <v>23</v>
      </c>
      <c r="D74" s="193" t="s">
        <v>1</v>
      </c>
      <c r="E74" s="903">
        <f>SUMIFS('2. DADOS DE ENTRADA'!C:C,'2. DADOS DE ENTRADA'!A:A,'7. TRANSBORDO'!A74,'2. DADOS DE ENTRADA'!B:B,'7. TRANSBORDO'!$C$65)</f>
        <v>0.71101040000000004</v>
      </c>
      <c r="F74" s="858">
        <f>G73</f>
        <v>2191.8137000000002</v>
      </c>
      <c r="G74" s="858">
        <f>(E74)*F74</f>
        <v>1558.4023355624802</v>
      </c>
      <c r="H74" s="904"/>
      <c r="I74" s="403"/>
    </row>
    <row r="75" spans="1:9" ht="15" x14ac:dyDescent="0.25">
      <c r="A75" s="379"/>
      <c r="B75" s="523" t="str">
        <f>IF(C75="","",$B$65&amp;"."&amp;COUNT($F$66:F75))</f>
        <v/>
      </c>
      <c r="C75" s="524"/>
      <c r="D75" s="524"/>
      <c r="E75" s="1069"/>
      <c r="F75" s="1070" t="s">
        <v>352</v>
      </c>
      <c r="G75" s="1071">
        <f>G73+G74</f>
        <v>3750.2160355624801</v>
      </c>
      <c r="H75" s="1072"/>
      <c r="I75" s="357"/>
    </row>
    <row r="76" spans="1:9" s="192" customFormat="1" x14ac:dyDescent="0.2">
      <c r="A76" s="379"/>
      <c r="B76" s="335" t="str">
        <f>IF(C76="","",$B$65&amp;"."&amp;COUNT($F$66:F76))</f>
        <v>2.2.7</v>
      </c>
      <c r="C76" s="189" t="s">
        <v>397</v>
      </c>
      <c r="D76" s="193" t="s">
        <v>25</v>
      </c>
      <c r="E76" s="1094">
        <f>E66</f>
        <v>0.5</v>
      </c>
      <c r="F76" s="858">
        <f>G75</f>
        <v>3750.2160355624801</v>
      </c>
      <c r="G76" s="858">
        <f>F76*E76</f>
        <v>1875.1080177812401</v>
      </c>
      <c r="H76" s="905"/>
      <c r="I76" s="357"/>
    </row>
    <row r="77" spans="1:9" s="192" customFormat="1" x14ac:dyDescent="0.2">
      <c r="A77" s="192" t="s">
        <v>104</v>
      </c>
      <c r="B77" s="335" t="str">
        <f>IF(C77="","",$B$65&amp;"."&amp;COUNT($F$66:F77))</f>
        <v>2.2.8</v>
      </c>
      <c r="C77" s="192" t="s">
        <v>29</v>
      </c>
      <c r="D77" s="190" t="s">
        <v>4</v>
      </c>
      <c r="E77" s="870">
        <f>SUMIFS('2. DADOS DE ENTRADA'!C:C,'2. DADOS DE ENTRADA'!A:A,'7. TRANSBORDO'!A77,'2. DADOS DE ENTRADA'!B:B,'7. TRANSBORDO'!$C$65)</f>
        <v>26</v>
      </c>
      <c r="F77" s="858">
        <f>'3. PREÇOS UNITÁRIOS'!D27/'7. TRANSBORDO'!E77</f>
        <v>12.594230769230769</v>
      </c>
      <c r="G77" s="858">
        <f>E77*F77</f>
        <v>327.45</v>
      </c>
      <c r="H77" s="871"/>
      <c r="I77" s="357"/>
    </row>
    <row r="78" spans="1:9" x14ac:dyDescent="0.2">
      <c r="A78" s="189"/>
      <c r="B78" s="335" t="str">
        <f>IF(C78="","",$B$65&amp;"."&amp;COUNT($F$66:F78))</f>
        <v>2.2.9</v>
      </c>
      <c r="C78" s="189" t="s">
        <v>397</v>
      </c>
      <c r="D78" s="193" t="s">
        <v>25</v>
      </c>
      <c r="E78" s="862">
        <f>E66</f>
        <v>0.5</v>
      </c>
      <c r="F78" s="858">
        <f>G77</f>
        <v>327.45</v>
      </c>
      <c r="G78" s="858">
        <f>E78*F78</f>
        <v>163.72499999999999</v>
      </c>
      <c r="H78" s="871"/>
      <c r="I78" s="357"/>
    </row>
    <row r="79" spans="1:9" x14ac:dyDescent="0.2">
      <c r="A79" s="189"/>
      <c r="B79" s="335" t="str">
        <f>IF(C79="","",$B$65&amp;"."&amp;COUNT($F$66:F79))</f>
        <v>2.2.10</v>
      </c>
      <c r="C79" s="192" t="s">
        <v>638</v>
      </c>
      <c r="D79" s="190" t="s">
        <v>25</v>
      </c>
      <c r="E79" s="870">
        <f>E78</f>
        <v>0.5</v>
      </c>
      <c r="F79" s="858">
        <f>'3. PREÇOS UNITÁRIOS'!D29</f>
        <v>40</v>
      </c>
      <c r="G79" s="858">
        <f>F79*E79</f>
        <v>20</v>
      </c>
      <c r="H79" s="871"/>
      <c r="I79" s="357"/>
    </row>
    <row r="80" spans="1:9" ht="15" x14ac:dyDescent="0.25">
      <c r="B80" s="540"/>
      <c r="C80" s="529"/>
      <c r="D80" s="529"/>
      <c r="E80" s="1073"/>
      <c r="F80" s="1074" t="s">
        <v>287</v>
      </c>
      <c r="G80" s="1075">
        <f>G76+G78+G79</f>
        <v>2058.83301778124</v>
      </c>
      <c r="H80" s="1076"/>
      <c r="I80" s="357"/>
    </row>
    <row r="81" spans="2:9" ht="15" x14ac:dyDescent="0.2">
      <c r="B81" s="501"/>
      <c r="C81" s="502"/>
      <c r="D81" s="502"/>
      <c r="E81" s="1095" t="s">
        <v>37</v>
      </c>
      <c r="F81" s="1095"/>
      <c r="G81" s="1048">
        <f>G80+G63</f>
        <v>6176.4990533437194</v>
      </c>
      <c r="H81" s="1096"/>
      <c r="I81" s="357"/>
    </row>
    <row r="82" spans="2:9" x14ac:dyDescent="0.2">
      <c r="B82" s="335"/>
      <c r="D82" s="190"/>
      <c r="E82" s="857"/>
      <c r="F82" s="901"/>
      <c r="G82" s="901"/>
      <c r="H82" s="859"/>
      <c r="I82" s="357"/>
    </row>
    <row r="83" spans="2:9" ht="15" x14ac:dyDescent="0.2">
      <c r="B83" s="420" t="s">
        <v>17</v>
      </c>
      <c r="C83" s="421" t="s">
        <v>39</v>
      </c>
      <c r="D83" s="422"/>
      <c r="E83" s="1041"/>
      <c r="F83" s="1041"/>
      <c r="G83" s="1041"/>
      <c r="H83" s="1042"/>
    </row>
    <row r="84" spans="2:9" ht="15" x14ac:dyDescent="0.2">
      <c r="B84" s="284"/>
      <c r="C84" s="285"/>
      <c r="D84" s="286"/>
      <c r="E84" s="895"/>
      <c r="F84" s="895"/>
      <c r="G84" s="895"/>
      <c r="H84" s="896"/>
    </row>
    <row r="85" spans="2:9" ht="15" x14ac:dyDescent="0.2">
      <c r="B85" s="420" t="s">
        <v>7</v>
      </c>
      <c r="C85" s="422" t="s">
        <v>8</v>
      </c>
      <c r="D85" s="422" t="s">
        <v>9</v>
      </c>
      <c r="E85" s="1041" t="s">
        <v>10</v>
      </c>
      <c r="F85" s="1041" t="s">
        <v>11</v>
      </c>
      <c r="G85" s="1041" t="s">
        <v>12</v>
      </c>
      <c r="H85" s="1042"/>
      <c r="I85" s="190"/>
    </row>
    <row r="86" spans="2:9" ht="30" x14ac:dyDescent="0.25">
      <c r="B86" s="482" t="s">
        <v>109</v>
      </c>
      <c r="C86" s="483" t="s">
        <v>40</v>
      </c>
      <c r="D86" s="484"/>
      <c r="E86" s="1097"/>
      <c r="F86" s="1097"/>
      <c r="G86" s="1097"/>
      <c r="H86" s="1098"/>
    </row>
    <row r="87" spans="2:9" x14ac:dyDescent="0.2">
      <c r="B87" s="335"/>
      <c r="E87" s="881"/>
      <c r="F87" s="881"/>
      <c r="G87" s="881"/>
      <c r="H87" s="871"/>
    </row>
    <row r="88" spans="2:9" ht="15" x14ac:dyDescent="0.25">
      <c r="B88" s="497" t="s">
        <v>108</v>
      </c>
      <c r="C88" s="498" t="s">
        <v>97</v>
      </c>
      <c r="D88" s="499"/>
      <c r="E88" s="1088"/>
      <c r="F88" s="1088"/>
      <c r="G88" s="1088"/>
      <c r="H88" s="1089"/>
    </row>
    <row r="89" spans="2:9" x14ac:dyDescent="0.2">
      <c r="B89" s="335" t="s">
        <v>289</v>
      </c>
      <c r="C89" s="363" t="s">
        <v>41</v>
      </c>
      <c r="D89" s="364" t="s">
        <v>4</v>
      </c>
      <c r="E89" s="922">
        <f t="array" ref="E89:E95">TRANSPOSE('2. DADOS DE ENTRADA'!C180:I180)</f>
        <v>0.5</v>
      </c>
      <c r="F89" s="923">
        <f>'3. PREÇOS UNITÁRIOS'!D10</f>
        <v>81.787999999999997</v>
      </c>
      <c r="G89" s="923">
        <f>F89*E89</f>
        <v>40.893999999999998</v>
      </c>
      <c r="H89" s="913"/>
      <c r="I89" s="189"/>
    </row>
    <row r="90" spans="2:9" x14ac:dyDescent="0.2">
      <c r="B90" s="335" t="s">
        <v>372</v>
      </c>
      <c r="C90" s="192" t="s">
        <v>42</v>
      </c>
      <c r="D90" s="190" t="s">
        <v>4</v>
      </c>
      <c r="E90" s="924">
        <v>0.5</v>
      </c>
      <c r="F90" s="858">
        <f>'3. PREÇOS UNITÁRIOS'!D11</f>
        <v>35.25</v>
      </c>
      <c r="G90" s="858">
        <f t="shared" ref="G90:G95" si="2">F90*E90</f>
        <v>17.625</v>
      </c>
      <c r="H90" s="859"/>
      <c r="I90" s="189"/>
    </row>
    <row r="91" spans="2:9" x14ac:dyDescent="0.2">
      <c r="B91" s="335" t="s">
        <v>373</v>
      </c>
      <c r="C91" s="192" t="s">
        <v>43</v>
      </c>
      <c r="D91" s="190" t="s">
        <v>4</v>
      </c>
      <c r="E91" s="924">
        <v>0.5</v>
      </c>
      <c r="F91" s="858">
        <f>'3. PREÇOS UNITÁRIOS'!D12</f>
        <v>70.696666666666673</v>
      </c>
      <c r="G91" s="858">
        <f t="shared" si="2"/>
        <v>35.348333333333336</v>
      </c>
      <c r="H91" s="859"/>
      <c r="I91" s="189"/>
    </row>
    <row r="92" spans="2:9" x14ac:dyDescent="0.2">
      <c r="B92" s="335" t="s">
        <v>374</v>
      </c>
      <c r="C92" s="192" t="s">
        <v>46</v>
      </c>
      <c r="D92" s="190" t="s">
        <v>4</v>
      </c>
      <c r="E92" s="924">
        <v>0.25</v>
      </c>
      <c r="F92" s="858">
        <f>'3. PREÇOS UNITÁRIOS'!D13</f>
        <v>13.563333333333333</v>
      </c>
      <c r="G92" s="858">
        <f t="shared" si="2"/>
        <v>3.3908333333333331</v>
      </c>
      <c r="H92" s="859"/>
      <c r="I92" s="189"/>
    </row>
    <row r="93" spans="2:9" x14ac:dyDescent="0.2">
      <c r="B93" s="335" t="s">
        <v>375</v>
      </c>
      <c r="C93" s="189" t="s">
        <v>84</v>
      </c>
      <c r="D93" s="190" t="s">
        <v>4</v>
      </c>
      <c r="E93" s="924">
        <v>0</v>
      </c>
      <c r="F93" s="858">
        <f>'3. PREÇOS UNITÁRIOS'!D15</f>
        <v>98.023333333333326</v>
      </c>
      <c r="G93" s="858">
        <f t="shared" si="2"/>
        <v>0</v>
      </c>
      <c r="H93" s="859"/>
      <c r="I93" s="189"/>
    </row>
    <row r="94" spans="2:9" x14ac:dyDescent="0.2">
      <c r="B94" s="335" t="s">
        <v>376</v>
      </c>
      <c r="C94" s="192" t="s">
        <v>116</v>
      </c>
      <c r="D94" s="190" t="s">
        <v>4</v>
      </c>
      <c r="E94" s="924">
        <v>0.33</v>
      </c>
      <c r="F94" s="858">
        <f>'3. PREÇOS UNITÁRIOS'!D17</f>
        <v>6.7633333333333328</v>
      </c>
      <c r="G94" s="858">
        <f t="shared" si="2"/>
        <v>2.2319</v>
      </c>
      <c r="H94" s="859"/>
      <c r="I94" s="189"/>
    </row>
    <row r="95" spans="2:9" x14ac:dyDescent="0.2">
      <c r="B95" s="335" t="s">
        <v>377</v>
      </c>
      <c r="C95" s="192" t="s">
        <v>117</v>
      </c>
      <c r="D95" s="190" t="s">
        <v>4</v>
      </c>
      <c r="E95" s="924">
        <v>1</v>
      </c>
      <c r="F95" s="858">
        <f>'3. PREÇOS UNITÁRIOS'!D18</f>
        <v>26.297499999999999</v>
      </c>
      <c r="G95" s="858">
        <f t="shared" si="2"/>
        <v>26.297499999999999</v>
      </c>
      <c r="H95" s="859"/>
      <c r="I95" s="189"/>
    </row>
    <row r="96" spans="2:9" ht="15" x14ac:dyDescent="0.25">
      <c r="B96" s="541"/>
      <c r="C96" s="529"/>
      <c r="D96" s="529"/>
      <c r="E96" s="1073"/>
      <c r="F96" s="1074" t="s">
        <v>36</v>
      </c>
      <c r="G96" s="1075">
        <f>SUM(G89:G95)</f>
        <v>125.78756666666666</v>
      </c>
      <c r="H96" s="1076"/>
      <c r="I96" s="357"/>
    </row>
    <row r="97" spans="2:9" x14ac:dyDescent="0.2">
      <c r="B97" s="335"/>
      <c r="E97" s="881"/>
      <c r="F97" s="881"/>
      <c r="G97" s="881"/>
      <c r="H97" s="871"/>
    </row>
    <row r="98" spans="2:9" ht="15" x14ac:dyDescent="0.25">
      <c r="B98" s="497" t="s">
        <v>75</v>
      </c>
      <c r="C98" s="498" t="s">
        <v>98</v>
      </c>
      <c r="D98" s="499"/>
      <c r="E98" s="1088"/>
      <c r="F98" s="1088"/>
      <c r="G98" s="1088"/>
      <c r="H98" s="1089"/>
    </row>
    <row r="99" spans="2:9" x14ac:dyDescent="0.2">
      <c r="B99" s="335" t="s">
        <v>290</v>
      </c>
      <c r="C99" s="363" t="s">
        <v>41</v>
      </c>
      <c r="D99" s="364" t="s">
        <v>4</v>
      </c>
      <c r="E99" s="922">
        <f t="array" ref="E99:E106">TRANSPOSE('2. DADOS DE ENTRADA'!C195:J195)</f>
        <v>0.16666666666666666</v>
      </c>
      <c r="F99" s="926">
        <f>'3. PREÇOS UNITÁRIOS'!D10</f>
        <v>81.787999999999997</v>
      </c>
      <c r="G99" s="923">
        <f>E99*F99</f>
        <v>13.631333333333332</v>
      </c>
      <c r="H99" s="913"/>
      <c r="I99" s="189"/>
    </row>
    <row r="100" spans="2:9" x14ac:dyDescent="0.2">
      <c r="B100" s="335" t="s">
        <v>378</v>
      </c>
      <c r="C100" s="192" t="s">
        <v>42</v>
      </c>
      <c r="D100" s="190" t="s">
        <v>4</v>
      </c>
      <c r="E100" s="924">
        <v>0.16666666666666666</v>
      </c>
      <c r="F100" s="858">
        <f>'3. PREÇOS UNITÁRIOS'!D11</f>
        <v>35.25</v>
      </c>
      <c r="G100" s="858">
        <f t="shared" ref="G100:G106" si="3">E100*F100</f>
        <v>5.875</v>
      </c>
      <c r="H100" s="859"/>
      <c r="I100" s="189"/>
    </row>
    <row r="101" spans="2:9" x14ac:dyDescent="0.2">
      <c r="B101" s="335" t="s">
        <v>379</v>
      </c>
      <c r="C101" s="192" t="s">
        <v>43</v>
      </c>
      <c r="D101" s="190" t="s">
        <v>4</v>
      </c>
      <c r="E101" s="924">
        <v>0.16666666666666666</v>
      </c>
      <c r="F101" s="927">
        <f>'3. PREÇOS UNITÁRIOS'!D12</f>
        <v>70.696666666666673</v>
      </c>
      <c r="G101" s="858">
        <f t="shared" si="3"/>
        <v>11.782777777777778</v>
      </c>
      <c r="H101" s="859"/>
      <c r="I101" s="189"/>
    </row>
    <row r="102" spans="2:9" x14ac:dyDescent="0.2">
      <c r="B102" s="335" t="s">
        <v>380</v>
      </c>
      <c r="C102" s="192" t="s">
        <v>46</v>
      </c>
      <c r="D102" s="190" t="s">
        <v>4</v>
      </c>
      <c r="E102" s="924">
        <v>8.3333333333333329E-2</v>
      </c>
      <c r="F102" s="927">
        <f>'3. PREÇOS UNITÁRIOS'!D13</f>
        <v>13.563333333333333</v>
      </c>
      <c r="G102" s="858">
        <f t="shared" si="3"/>
        <v>1.1302777777777777</v>
      </c>
      <c r="H102" s="859"/>
      <c r="I102" s="189"/>
    </row>
    <row r="103" spans="2:9" x14ac:dyDescent="0.2">
      <c r="B103" s="335" t="s">
        <v>381</v>
      </c>
      <c r="C103" s="192" t="s">
        <v>44</v>
      </c>
      <c r="D103" s="190" t="s">
        <v>4</v>
      </c>
      <c r="E103" s="924">
        <v>8.3333333333333329E-2</v>
      </c>
      <c r="F103" s="927">
        <f>'3. PREÇOS UNITÁRIOS'!D14</f>
        <v>23.113333333333333</v>
      </c>
      <c r="G103" s="858">
        <f t="shared" si="3"/>
        <v>1.9261111111111111</v>
      </c>
      <c r="H103" s="859"/>
      <c r="I103" s="189"/>
    </row>
    <row r="104" spans="2:9" x14ac:dyDescent="0.2">
      <c r="B104" s="335" t="s">
        <v>382</v>
      </c>
      <c r="C104" s="192" t="s">
        <v>84</v>
      </c>
      <c r="D104" s="190" t="s">
        <v>4</v>
      </c>
      <c r="E104" s="924">
        <v>4.1666666666666664E-2</v>
      </c>
      <c r="F104" s="927">
        <f>'3. PREÇOS UNITÁRIOS'!D15</f>
        <v>98.023333333333326</v>
      </c>
      <c r="G104" s="858">
        <f t="shared" si="3"/>
        <v>4.084305555555555</v>
      </c>
      <c r="H104" s="859"/>
      <c r="I104" s="189"/>
    </row>
    <row r="105" spans="2:9" x14ac:dyDescent="0.2">
      <c r="B105" s="335" t="s">
        <v>383</v>
      </c>
      <c r="C105" s="192" t="s">
        <v>116</v>
      </c>
      <c r="D105" s="190" t="s">
        <v>4</v>
      </c>
      <c r="E105" s="924">
        <v>0.25</v>
      </c>
      <c r="F105" s="927">
        <f>'3. PREÇOS UNITÁRIOS'!D17</f>
        <v>6.7633333333333328</v>
      </c>
      <c r="G105" s="858">
        <f t="shared" si="3"/>
        <v>1.6908333333333332</v>
      </c>
      <c r="H105" s="859"/>
      <c r="I105" s="189"/>
    </row>
    <row r="106" spans="2:9" x14ac:dyDescent="0.2">
      <c r="B106" s="335" t="s">
        <v>384</v>
      </c>
      <c r="C106" s="192" t="s">
        <v>117</v>
      </c>
      <c r="D106" s="190" t="s">
        <v>4</v>
      </c>
      <c r="E106" s="924">
        <v>0.5</v>
      </c>
      <c r="F106" s="927">
        <f>'3. PREÇOS UNITÁRIOS'!D18</f>
        <v>26.297499999999999</v>
      </c>
      <c r="G106" s="858">
        <f t="shared" si="3"/>
        <v>13.14875</v>
      </c>
      <c r="H106" s="859"/>
      <c r="I106" s="189"/>
    </row>
    <row r="107" spans="2:9" ht="15" x14ac:dyDescent="0.25">
      <c r="B107" s="541"/>
      <c r="C107" s="529"/>
      <c r="D107" s="529"/>
      <c r="E107" s="1073"/>
      <c r="F107" s="1074" t="s">
        <v>36</v>
      </c>
      <c r="G107" s="1075">
        <f>SUM(G99:G106)</f>
        <v>53.269388888888884</v>
      </c>
      <c r="H107" s="1076"/>
      <c r="I107" s="357"/>
    </row>
    <row r="108" spans="2:9" x14ac:dyDescent="0.2">
      <c r="B108" s="335"/>
      <c r="E108" s="924"/>
      <c r="F108" s="929"/>
      <c r="G108" s="858"/>
      <c r="H108" s="859"/>
      <c r="I108" s="357"/>
    </row>
    <row r="109" spans="2:9" ht="15" x14ac:dyDescent="0.25">
      <c r="B109" s="482" t="s">
        <v>107</v>
      </c>
      <c r="C109" s="483" t="s">
        <v>45</v>
      </c>
      <c r="D109" s="484"/>
      <c r="E109" s="1097"/>
      <c r="F109" s="1097"/>
      <c r="G109" s="1097"/>
      <c r="H109" s="1098"/>
      <c r="I109" s="357"/>
    </row>
    <row r="110" spans="2:9" x14ac:dyDescent="0.2">
      <c r="B110" s="335" t="s">
        <v>291</v>
      </c>
      <c r="C110" s="192" t="s">
        <v>41</v>
      </c>
      <c r="D110" s="190" t="s">
        <v>4</v>
      </c>
      <c r="E110" s="924">
        <f t="array" ref="E110:E117">TRANSPOSE('2. DADOS DE ENTRADA'!C210:J210)</f>
        <v>0</v>
      </c>
      <c r="F110" s="927">
        <f>'3. PREÇOS UNITÁRIOS'!D10</f>
        <v>81.787999999999997</v>
      </c>
      <c r="G110" s="927">
        <f>E110*F110</f>
        <v>0</v>
      </c>
      <c r="H110" s="859"/>
      <c r="I110" s="189"/>
    </row>
    <row r="111" spans="2:9" x14ac:dyDescent="0.2">
      <c r="B111" s="335" t="s">
        <v>385</v>
      </c>
      <c r="C111" s="192" t="s">
        <v>42</v>
      </c>
      <c r="D111" s="190" t="s">
        <v>4</v>
      </c>
      <c r="E111" s="924">
        <v>0</v>
      </c>
      <c r="F111" s="927">
        <f>'3. PREÇOS UNITÁRIOS'!D11</f>
        <v>35.25</v>
      </c>
      <c r="G111" s="927">
        <f t="shared" ref="G111:G117" si="4">E111*F111</f>
        <v>0</v>
      </c>
      <c r="H111" s="859"/>
      <c r="I111" s="189"/>
    </row>
    <row r="112" spans="2:9" x14ac:dyDescent="0.2">
      <c r="B112" s="335" t="s">
        <v>386</v>
      </c>
      <c r="C112" s="192" t="s">
        <v>115</v>
      </c>
      <c r="D112" s="190" t="s">
        <v>4</v>
      </c>
      <c r="E112" s="924">
        <v>0</v>
      </c>
      <c r="F112" s="927">
        <f>'3. PREÇOS UNITÁRIOS'!D12</f>
        <v>70.696666666666673</v>
      </c>
      <c r="G112" s="927">
        <f t="shared" si="4"/>
        <v>0</v>
      </c>
      <c r="H112" s="859"/>
      <c r="I112" s="189"/>
    </row>
    <row r="113" spans="1:15" x14ac:dyDescent="0.2">
      <c r="B113" s="335" t="s">
        <v>387</v>
      </c>
      <c r="C113" s="192" t="s">
        <v>46</v>
      </c>
      <c r="D113" s="190" t="s">
        <v>4</v>
      </c>
      <c r="E113" s="924">
        <v>0</v>
      </c>
      <c r="F113" s="927">
        <f>'3. PREÇOS UNITÁRIOS'!D13</f>
        <v>13.563333333333333</v>
      </c>
      <c r="G113" s="927">
        <f t="shared" si="4"/>
        <v>0</v>
      </c>
      <c r="H113" s="859"/>
      <c r="I113" s="189"/>
    </row>
    <row r="114" spans="1:15" x14ac:dyDescent="0.2">
      <c r="B114" s="335" t="s">
        <v>388</v>
      </c>
      <c r="C114" s="192" t="s">
        <v>84</v>
      </c>
      <c r="D114" s="190" t="s">
        <v>4</v>
      </c>
      <c r="E114" s="924">
        <v>0</v>
      </c>
      <c r="F114" s="927">
        <f>'3. PREÇOS UNITÁRIOS'!D15</f>
        <v>98.023333333333326</v>
      </c>
      <c r="G114" s="927">
        <f t="shared" si="4"/>
        <v>0</v>
      </c>
      <c r="H114" s="859"/>
      <c r="I114" s="189"/>
    </row>
    <row r="115" spans="1:15" x14ac:dyDescent="0.2">
      <c r="B115" s="335" t="s">
        <v>389</v>
      </c>
      <c r="C115" s="192" t="s">
        <v>47</v>
      </c>
      <c r="D115" s="190" t="s">
        <v>4</v>
      </c>
      <c r="E115" s="924">
        <v>0</v>
      </c>
      <c r="F115" s="927">
        <f>'3. PREÇOS UNITÁRIOS'!D16</f>
        <v>14.2325</v>
      </c>
      <c r="G115" s="927">
        <f t="shared" si="4"/>
        <v>0</v>
      </c>
      <c r="H115" s="859"/>
      <c r="I115" s="189"/>
    </row>
    <row r="116" spans="1:15" x14ac:dyDescent="0.2">
      <c r="B116" s="335" t="s">
        <v>390</v>
      </c>
      <c r="C116" s="192" t="s">
        <v>116</v>
      </c>
      <c r="D116" s="190" t="s">
        <v>4</v>
      </c>
      <c r="E116" s="924">
        <v>0</v>
      </c>
      <c r="F116" s="927">
        <f>'3. PREÇOS UNITÁRIOS'!D17</f>
        <v>6.7633333333333328</v>
      </c>
      <c r="G116" s="927">
        <f t="shared" si="4"/>
        <v>0</v>
      </c>
      <c r="H116" s="859"/>
      <c r="I116" s="189"/>
    </row>
    <row r="117" spans="1:15" x14ac:dyDescent="0.2">
      <c r="B117" s="189" t="s">
        <v>391</v>
      </c>
      <c r="C117" s="192" t="s">
        <v>117</v>
      </c>
      <c r="D117" s="190" t="s">
        <v>4</v>
      </c>
      <c r="E117" s="924">
        <v>0</v>
      </c>
      <c r="F117" s="927">
        <f>'3. PREÇOS UNITÁRIOS'!D18</f>
        <v>26.297499999999999</v>
      </c>
      <c r="G117" s="927">
        <f t="shared" si="4"/>
        <v>0</v>
      </c>
      <c r="H117" s="901"/>
      <c r="I117" s="189"/>
    </row>
    <row r="118" spans="1:15" ht="15" x14ac:dyDescent="0.25">
      <c r="B118" s="537"/>
      <c r="C118" s="537"/>
      <c r="D118" s="537"/>
      <c r="E118" s="1092"/>
      <c r="F118" s="1074" t="s">
        <v>36</v>
      </c>
      <c r="G118" s="1075">
        <f>SUM(G110:G117)</f>
        <v>0</v>
      </c>
      <c r="H118" s="1092"/>
      <c r="I118" s="357"/>
    </row>
    <row r="119" spans="1:15" ht="15" x14ac:dyDescent="0.2">
      <c r="B119" s="448"/>
      <c r="C119" s="441"/>
      <c r="D119" s="441"/>
      <c r="E119" s="1048" t="s">
        <v>292</v>
      </c>
      <c r="F119" s="1048"/>
      <c r="G119" s="1048">
        <f>G118+G107+G96</f>
        <v>179.05695555555553</v>
      </c>
      <c r="H119" s="1099"/>
    </row>
    <row r="120" spans="1:15" s="192" customFormat="1" ht="15" x14ac:dyDescent="0.2">
      <c r="B120" s="302"/>
      <c r="C120" s="303"/>
      <c r="D120" s="303"/>
      <c r="E120" s="933"/>
      <c r="F120" s="933"/>
      <c r="G120" s="933"/>
      <c r="H120" s="934"/>
    </row>
    <row r="121" spans="1:15" s="192" customFormat="1" ht="15" x14ac:dyDescent="0.2">
      <c r="B121" s="505"/>
      <c r="C121" s="506"/>
      <c r="D121" s="506"/>
      <c r="E121" s="1100" t="s">
        <v>620</v>
      </c>
      <c r="F121" s="1100"/>
      <c r="G121" s="1100">
        <f>G81+G43+G119</f>
        <v>6355.5560088992752</v>
      </c>
      <c r="H121" s="1101"/>
    </row>
    <row r="122" spans="1:15" x14ac:dyDescent="0.2">
      <c r="B122" s="335"/>
      <c r="E122" s="857"/>
      <c r="F122" s="857"/>
      <c r="G122" s="881"/>
      <c r="H122" s="965"/>
      <c r="I122" s="391"/>
    </row>
    <row r="123" spans="1:15" s="192" customFormat="1" ht="15" x14ac:dyDescent="0.2">
      <c r="B123" s="478" t="s">
        <v>38</v>
      </c>
      <c r="C123" s="479" t="s">
        <v>6</v>
      </c>
      <c r="D123" s="480"/>
      <c r="E123" s="1102"/>
      <c r="F123" s="1102"/>
      <c r="G123" s="1102"/>
      <c r="H123" s="1103"/>
      <c r="J123" s="189"/>
      <c r="K123" s="189"/>
      <c r="L123" s="189"/>
      <c r="M123" s="189"/>
      <c r="N123" s="189"/>
      <c r="O123" s="189"/>
    </row>
    <row r="124" spans="1:15" s="192" customFormat="1" ht="15" x14ac:dyDescent="0.2">
      <c r="B124" s="284"/>
      <c r="C124" s="285"/>
      <c r="D124" s="286"/>
      <c r="E124" s="895"/>
      <c r="F124" s="895"/>
      <c r="G124" s="895"/>
      <c r="H124" s="896"/>
    </row>
    <row r="125" spans="1:15" s="192" customFormat="1" ht="15" x14ac:dyDescent="0.2">
      <c r="B125" s="420" t="s">
        <v>7</v>
      </c>
      <c r="C125" s="421" t="s">
        <v>8</v>
      </c>
      <c r="D125" s="422" t="s">
        <v>9</v>
      </c>
      <c r="E125" s="1041" t="s">
        <v>10</v>
      </c>
      <c r="F125" s="1041" t="s">
        <v>11</v>
      </c>
      <c r="G125" s="1041" t="s">
        <v>12</v>
      </c>
      <c r="H125" s="1042"/>
      <c r="J125" s="189"/>
      <c r="K125" s="189"/>
      <c r="L125" s="189"/>
      <c r="M125" s="189"/>
      <c r="N125" s="189"/>
      <c r="O125" s="189"/>
    </row>
    <row r="126" spans="1:15" s="192" customFormat="1" ht="15" x14ac:dyDescent="0.25">
      <c r="B126" s="497" t="s">
        <v>95</v>
      </c>
      <c r="C126" s="498" t="s">
        <v>13</v>
      </c>
      <c r="D126" s="499"/>
      <c r="E126" s="1088"/>
      <c r="F126" s="1088"/>
      <c r="G126" s="1088"/>
      <c r="H126" s="1089"/>
      <c r="J126" s="189"/>
      <c r="K126" s="189"/>
      <c r="L126" s="189"/>
      <c r="M126" s="189"/>
      <c r="N126" s="189"/>
      <c r="O126" s="189"/>
    </row>
    <row r="127" spans="1:15" s="192" customFormat="1" ht="42.75" x14ac:dyDescent="0.2">
      <c r="A127" s="192" t="s">
        <v>275</v>
      </c>
      <c r="B127" s="380" t="str">
        <f>IF(C127="","",$B$126&amp;"."&amp;COUNT($F$127:F127))</f>
        <v>4.1.1</v>
      </c>
      <c r="C127" s="542" t="str">
        <f>'2. DADOS DE ENTRADA'!B214</f>
        <v>Caminhão para caçamba coletora compactadora com capacidade mínima de 15 m³ - Operando em 3 turnos</v>
      </c>
      <c r="D127" s="394" t="s">
        <v>4</v>
      </c>
      <c r="E127" s="1104">
        <f>SUMIFS('2. DADOS DE ENTRADA'!J:J,'2. DADOS DE ENTRADA'!A:A,'7. TRANSBORDO'!A127,'2. DADOS DE ENTRADA'!B:B,'7. TRANSBORDO'!C127)</f>
        <v>0</v>
      </c>
      <c r="F127" s="1105">
        <f>'3. PREÇOS UNITÁRIOS'!D35</f>
        <v>234125</v>
      </c>
      <c r="G127" s="1105">
        <f>E127*F127</f>
        <v>0</v>
      </c>
      <c r="H127" s="971"/>
      <c r="J127" s="189"/>
      <c r="K127" s="189"/>
      <c r="L127" s="189"/>
      <c r="M127" s="189"/>
      <c r="N127" s="189"/>
      <c r="O127" s="189"/>
    </row>
    <row r="128" spans="1:15" s="192" customFormat="1" ht="42.75" x14ac:dyDescent="0.2">
      <c r="A128" s="192" t="s">
        <v>275</v>
      </c>
      <c r="B128" s="380" t="str">
        <f>IF(C128="","",$B$126&amp;"."&amp;COUNT($F$127:F128))</f>
        <v>4.1.2</v>
      </c>
      <c r="C128" s="382" t="str">
        <f>'2. DADOS DE ENTRADA'!B215</f>
        <v>Caminhão para caçamba coletora compactadora com capacidade mínima de 15 m³ - Operando em 2 turnos</v>
      </c>
      <c r="D128" s="193" t="s">
        <v>4</v>
      </c>
      <c r="E128" s="940">
        <f>SUMIFS('2. DADOS DE ENTRADA'!J:J,'2. DADOS DE ENTRADA'!A:A,'7. TRANSBORDO'!A128,'2. DADOS DE ENTRADA'!B:B,'7. TRANSBORDO'!C128)</f>
        <v>0</v>
      </c>
      <c r="F128" s="941">
        <f>'3. PREÇOS UNITÁRIOS'!D35</f>
        <v>234125</v>
      </c>
      <c r="G128" s="941">
        <f t="shared" ref="G128:G145" si="5">E128*F128</f>
        <v>0</v>
      </c>
      <c r="H128" s="904"/>
      <c r="J128" s="189"/>
      <c r="K128" s="189"/>
      <c r="L128" s="189"/>
      <c r="M128" s="189"/>
      <c r="N128" s="189"/>
      <c r="O128" s="189"/>
    </row>
    <row r="129" spans="1:15" s="192" customFormat="1" ht="42.75" x14ac:dyDescent="0.2">
      <c r="A129" s="192" t="s">
        <v>275</v>
      </c>
      <c r="B129" s="380" t="str">
        <f>IF(C129="","",$B$126&amp;"."&amp;COUNT($F$127:F129))</f>
        <v>4.1.3</v>
      </c>
      <c r="C129" s="382" t="str">
        <f>'2. DADOS DE ENTRADA'!B217</f>
        <v xml:space="preserve">Caminhão para caçamba coletora compactadora com capacidade mínima de 15 m³ - Reserva </v>
      </c>
      <c r="D129" s="193" t="s">
        <v>4</v>
      </c>
      <c r="E129" s="940">
        <f>SUMIFS('2. DADOS DE ENTRADA'!J:J,'2. DADOS DE ENTRADA'!A:A,'7. TRANSBORDO'!A129,'2. DADOS DE ENTRADA'!B:B,'7. TRANSBORDO'!C129)</f>
        <v>0</v>
      </c>
      <c r="F129" s="941">
        <f>'3. PREÇOS UNITÁRIOS'!D35</f>
        <v>234125</v>
      </c>
      <c r="G129" s="941">
        <f t="shared" si="5"/>
        <v>0</v>
      </c>
      <c r="H129" s="904"/>
      <c r="J129" s="189"/>
      <c r="K129" s="189"/>
      <c r="L129" s="189"/>
      <c r="M129" s="189"/>
      <c r="N129" s="189"/>
      <c r="O129" s="189"/>
    </row>
    <row r="130" spans="1:15" s="192" customFormat="1" x14ac:dyDescent="0.2">
      <c r="B130" s="380" t="str">
        <f>IF(C130="","",$B$126&amp;"."&amp;COUNT($F$127:F130))</f>
        <v>4.1.4</v>
      </c>
      <c r="C130" s="189" t="str">
        <f>'2. DADOS DE ENTRADA'!B223</f>
        <v>Caçamba compactadora de 15m³ - operando em 3 turnos</v>
      </c>
      <c r="D130" s="193" t="s">
        <v>4</v>
      </c>
      <c r="E130" s="940">
        <f>SUMIFS('2. DADOS DE ENTRADA'!J:J,'2. DADOS DE ENTRADA'!A:A,'7. TRANSBORDO'!A127,'2. DADOS DE ENTRADA'!B:B,'7. TRANSBORDO'!C130)</f>
        <v>0</v>
      </c>
      <c r="F130" s="941">
        <f>'3. PREÇOS UNITÁRIOS'!D36</f>
        <v>81966.28</v>
      </c>
      <c r="G130" s="941">
        <f t="shared" si="5"/>
        <v>0</v>
      </c>
      <c r="H130" s="904"/>
      <c r="J130" s="189"/>
      <c r="K130" s="189"/>
      <c r="L130" s="189"/>
      <c r="M130" s="189"/>
      <c r="N130" s="189"/>
      <c r="O130" s="189"/>
    </row>
    <row r="131" spans="1:15" s="192" customFormat="1" x14ac:dyDescent="0.2">
      <c r="B131" s="380" t="str">
        <f>IF(C131="","",$B$126&amp;"."&amp;COUNT($F$127:F131))</f>
        <v>4.1.5</v>
      </c>
      <c r="C131" s="189" t="str">
        <f>'2. DADOS DE ENTRADA'!B224</f>
        <v>Caçamba compactadora de 15m³- operando em 2 turnos</v>
      </c>
      <c r="D131" s="193" t="s">
        <v>4</v>
      </c>
      <c r="E131" s="940">
        <f>SUMIFS('2. DADOS DE ENTRADA'!J:J,'2. DADOS DE ENTRADA'!A:A,'7. TRANSBORDO'!A128,'2. DADOS DE ENTRADA'!B:B,'7. TRANSBORDO'!C131)</f>
        <v>0</v>
      </c>
      <c r="F131" s="941">
        <f>'3. PREÇOS UNITÁRIOS'!D36</f>
        <v>81966.28</v>
      </c>
      <c r="G131" s="941">
        <f t="shared" si="5"/>
        <v>0</v>
      </c>
      <c r="H131" s="904"/>
      <c r="J131" s="189"/>
      <c r="K131" s="189"/>
      <c r="L131" s="189"/>
      <c r="M131" s="189"/>
      <c r="N131" s="189"/>
      <c r="O131" s="189"/>
    </row>
    <row r="132" spans="1:15" s="192" customFormat="1" x14ac:dyDescent="0.2">
      <c r="B132" s="380" t="str">
        <f>IF(C132="","",$B$126&amp;"."&amp;COUNT($F$127:F132))</f>
        <v>4.1.6</v>
      </c>
      <c r="C132" s="189" t="str">
        <f>'2. DADOS DE ENTRADA'!B226</f>
        <v xml:space="preserve">Caçamba compactadora de 15m³ - Reserva </v>
      </c>
      <c r="D132" s="193" t="s">
        <v>4</v>
      </c>
      <c r="E132" s="940">
        <f>SUMIFS('2. DADOS DE ENTRADA'!J:J,'2. DADOS DE ENTRADA'!A:A,'7. TRANSBORDO'!A129,'2. DADOS DE ENTRADA'!B:B,'7. TRANSBORDO'!C132)</f>
        <v>0</v>
      </c>
      <c r="F132" s="941">
        <f>'3. PREÇOS UNITÁRIOS'!D36</f>
        <v>81966.28</v>
      </c>
      <c r="G132" s="941">
        <f t="shared" si="5"/>
        <v>0</v>
      </c>
      <c r="H132" s="904"/>
      <c r="J132" s="189"/>
      <c r="K132" s="189"/>
      <c r="L132" s="189"/>
      <c r="M132" s="189"/>
      <c r="N132" s="189"/>
      <c r="O132" s="189"/>
    </row>
    <row r="133" spans="1:15" s="192" customFormat="1" ht="28.5" x14ac:dyDescent="0.2">
      <c r="A133" s="192" t="s">
        <v>275</v>
      </c>
      <c r="B133" s="380" t="str">
        <f>IF(C133="","",$B$126&amp;"."&amp;COUNT($F$127:F133))</f>
        <v>4.1.7</v>
      </c>
      <c r="C133" s="379" t="str">
        <f>'2. DADOS DE ENTRADA'!B219</f>
        <v>Dispositivo para coleta mecanizada (conteinerizada) em 3 turnos</v>
      </c>
      <c r="D133" s="190" t="s">
        <v>4</v>
      </c>
      <c r="E133" s="940">
        <f>SUMIFS('2. DADOS DE ENTRADA'!J:J,'2. DADOS DE ENTRADA'!A:A,'7. TRANSBORDO'!A133,'2. DADOS DE ENTRADA'!B:B,'7. TRANSBORDO'!C133)</f>
        <v>0</v>
      </c>
      <c r="F133" s="941">
        <f>'3. PREÇOS UNITÁRIOS'!D37</f>
        <v>6650.619999999999</v>
      </c>
      <c r="G133" s="941">
        <f t="shared" si="5"/>
        <v>0</v>
      </c>
      <c r="H133" s="904"/>
      <c r="J133" s="189"/>
      <c r="K133" s="189"/>
      <c r="L133" s="189"/>
      <c r="M133" s="189"/>
      <c r="N133" s="189"/>
      <c r="O133" s="189"/>
    </row>
    <row r="134" spans="1:15" s="192" customFormat="1" ht="28.5" x14ac:dyDescent="0.2">
      <c r="A134" s="192" t="s">
        <v>275</v>
      </c>
      <c r="B134" s="380" t="str">
        <f>IF(C134="","",$B$126&amp;"."&amp;COUNT($F$127:F134))</f>
        <v>4.1.8</v>
      </c>
      <c r="C134" s="379" t="str">
        <f>'2. DADOS DE ENTRADA'!B220</f>
        <v>Dispositivo para coleta mecanizada (conteinerizada) em 2 turnos</v>
      </c>
      <c r="D134" s="190" t="s">
        <v>4</v>
      </c>
      <c r="E134" s="999">
        <f>SUMIFS('2. DADOS DE ENTRADA'!J:J,'2. DADOS DE ENTRADA'!A:A,'7. TRANSBORDO'!A134,'2. DADOS DE ENTRADA'!B:B,'7. TRANSBORDO'!C134)</f>
        <v>0</v>
      </c>
      <c r="F134" s="941">
        <f>'3. PREÇOS UNITÁRIOS'!D37</f>
        <v>6650.619999999999</v>
      </c>
      <c r="G134" s="941">
        <f t="shared" si="5"/>
        <v>0</v>
      </c>
      <c r="H134" s="904"/>
      <c r="J134" s="189"/>
      <c r="K134" s="189"/>
      <c r="L134" s="189"/>
      <c r="M134" s="189"/>
      <c r="N134" s="189"/>
      <c r="O134" s="189"/>
    </row>
    <row r="135" spans="1:15" s="192" customFormat="1" ht="28.5" x14ac:dyDescent="0.2">
      <c r="A135" s="192" t="s">
        <v>275</v>
      </c>
      <c r="B135" s="380" t="str">
        <f>IF(C135="","",$B$126&amp;"."&amp;COUNT($F$127:F135))</f>
        <v>4.1.9</v>
      </c>
      <c r="C135" s="379" t="str">
        <f>'2. DADOS DE ENTRADA'!B222</f>
        <v>Dispositivo para coleta mecanizada (conteinerizada) - Reserva</v>
      </c>
      <c r="D135" s="190" t="s">
        <v>4</v>
      </c>
      <c r="E135" s="940">
        <f>SUMIFS('2. DADOS DE ENTRADA'!J:J,'2. DADOS DE ENTRADA'!A:A,'7. TRANSBORDO'!A135,'2. DADOS DE ENTRADA'!B:B,'7. TRANSBORDO'!C135)</f>
        <v>0</v>
      </c>
      <c r="F135" s="941">
        <f>'3. PREÇOS UNITÁRIOS'!D37</f>
        <v>6650.619999999999</v>
      </c>
      <c r="G135" s="941">
        <f t="shared" si="5"/>
        <v>0</v>
      </c>
      <c r="H135" s="904"/>
      <c r="J135" s="189"/>
      <c r="K135" s="189"/>
      <c r="L135" s="189"/>
      <c r="M135" s="189"/>
      <c r="N135" s="189"/>
      <c r="O135" s="189"/>
    </row>
    <row r="136" spans="1:15" s="192" customFormat="1" x14ac:dyDescent="0.2">
      <c r="A136" s="192" t="s">
        <v>275</v>
      </c>
      <c r="B136" s="380" t="str">
        <f>IF(C136="","",$B$126&amp;"."&amp;COUNT($F$127:F136))</f>
        <v>4.1.10</v>
      </c>
      <c r="C136" s="379" t="str">
        <f>'2. DADOS DE ENTRADA'!B232</f>
        <v xml:space="preserve">Caminhão para Roll on Roll off </v>
      </c>
      <c r="D136" s="190" t="s">
        <v>4</v>
      </c>
      <c r="E136" s="940">
        <f>SUMIFS('2. DADOS DE ENTRADA'!J:J,'2. DADOS DE ENTRADA'!A:A,'7. TRANSBORDO'!A136,'2. DADOS DE ENTRADA'!B:B,'7. TRANSBORDO'!C136)</f>
        <v>0</v>
      </c>
      <c r="F136" s="941">
        <f>'3. PREÇOS UNITÁRIOS'!D45</f>
        <v>288976</v>
      </c>
      <c r="G136" s="941">
        <f t="shared" si="5"/>
        <v>0</v>
      </c>
      <c r="H136" s="904"/>
      <c r="J136" s="189"/>
      <c r="K136" s="189"/>
      <c r="L136" s="189"/>
      <c r="M136" s="189"/>
      <c r="N136" s="189"/>
      <c r="O136" s="189"/>
    </row>
    <row r="137" spans="1:15" s="192" customFormat="1" x14ac:dyDescent="0.2">
      <c r="A137" s="192" t="s">
        <v>275</v>
      </c>
      <c r="B137" s="380" t="str">
        <f>IF(C137="","",$B$126&amp;"."&amp;COUNT($F$127:F137))</f>
        <v>4.1.11</v>
      </c>
      <c r="C137" s="379" t="str">
        <f>'2. DADOS DE ENTRADA'!B233</f>
        <v>Caminhão para Roll on Roll off reserva</v>
      </c>
      <c r="D137" s="190" t="s">
        <v>4</v>
      </c>
      <c r="E137" s="940">
        <f>SUMIFS('2. DADOS DE ENTRADA'!J:J,'2. DADOS DE ENTRADA'!A:A,'7. TRANSBORDO'!A137,'2. DADOS DE ENTRADA'!B:B,'7. TRANSBORDO'!C137)</f>
        <v>0</v>
      </c>
      <c r="F137" s="941">
        <f>'3. PREÇOS UNITÁRIOS'!D45</f>
        <v>288976</v>
      </c>
      <c r="G137" s="941">
        <f t="shared" si="5"/>
        <v>0</v>
      </c>
      <c r="H137" s="904"/>
      <c r="J137" s="189"/>
      <c r="K137" s="189"/>
      <c r="L137" s="189"/>
      <c r="M137" s="189"/>
      <c r="N137" s="189"/>
      <c r="O137" s="189"/>
    </row>
    <row r="138" spans="1:15" s="192" customFormat="1" ht="28.5" x14ac:dyDescent="0.2">
      <c r="A138" s="192" t="s">
        <v>275</v>
      </c>
      <c r="B138" s="380" t="str">
        <f>IF(C138="","",$B$126&amp;"."&amp;COUNT($F$127:F138))</f>
        <v>4.1.12</v>
      </c>
      <c r="C138" s="379" t="str">
        <f>'2. DADOS DE ENTRADA'!B234</f>
        <v>Equipamento Roll on Roll off operando 1 turno</v>
      </c>
      <c r="D138" s="190" t="s">
        <v>4</v>
      </c>
      <c r="E138" s="940">
        <f>SUMIFS('2. DADOS DE ENTRADA'!J:J,'2. DADOS DE ENTRADA'!A:A,'7. TRANSBORDO'!A138,'2. DADOS DE ENTRADA'!B:B,'7. TRANSBORDO'!C138)</f>
        <v>0</v>
      </c>
      <c r="F138" s="941">
        <f>'3. PREÇOS UNITÁRIOS'!D46</f>
        <v>39241.384405999997</v>
      </c>
      <c r="G138" s="941">
        <f t="shared" si="5"/>
        <v>0</v>
      </c>
      <c r="H138" s="904"/>
      <c r="J138" s="189"/>
      <c r="K138" s="189"/>
      <c r="L138" s="189"/>
      <c r="M138" s="189"/>
      <c r="N138" s="189"/>
      <c r="O138" s="189"/>
    </row>
    <row r="139" spans="1:15" s="192" customFormat="1" x14ac:dyDescent="0.2">
      <c r="A139" s="192" t="s">
        <v>275</v>
      </c>
      <c r="B139" s="380" t="str">
        <f>IF(C139="","",$B$126&amp;"."&amp;COUNT($F$127:F139))</f>
        <v>4.1.13</v>
      </c>
      <c r="C139" s="379" t="str">
        <f>'2. DADOS DE ENTRADA'!B235</f>
        <v>Equipamento Roll on Roll off reserva</v>
      </c>
      <c r="D139" s="190" t="s">
        <v>4</v>
      </c>
      <c r="E139" s="940">
        <f>SUMIFS('2. DADOS DE ENTRADA'!J:J,'2. DADOS DE ENTRADA'!A:A,'7. TRANSBORDO'!A139,'2. DADOS DE ENTRADA'!B:B,'7. TRANSBORDO'!C139)</f>
        <v>0</v>
      </c>
      <c r="F139" s="941">
        <f>'3. PREÇOS UNITÁRIOS'!D46</f>
        <v>39241.384405999997</v>
      </c>
      <c r="G139" s="941">
        <f t="shared" si="5"/>
        <v>0</v>
      </c>
      <c r="H139" s="904"/>
      <c r="J139" s="189"/>
      <c r="K139" s="189"/>
      <c r="L139" s="189"/>
      <c r="M139" s="189"/>
      <c r="N139" s="189"/>
      <c r="O139" s="189"/>
    </row>
    <row r="140" spans="1:15" s="192" customFormat="1" x14ac:dyDescent="0.2">
      <c r="A140" s="192" t="s">
        <v>275</v>
      </c>
      <c r="B140" s="380" t="str">
        <f>IF(C140="","",$B$126&amp;"."&amp;COUNT($F$127:F140))</f>
        <v>4.1.14</v>
      </c>
      <c r="C140" s="379" t="str">
        <f>'2. DADOS DE ENTRADA'!B236</f>
        <v>Conteiner 39 m³ operando 1 turno</v>
      </c>
      <c r="D140" s="190" t="s">
        <v>4</v>
      </c>
      <c r="E140" s="940">
        <f>SUMIFS('2. DADOS DE ENTRADA'!J:J,'2. DADOS DE ENTRADA'!A:A,'7. TRANSBORDO'!A140,'2. DADOS DE ENTRADA'!B:B,'7. TRANSBORDO'!C140)</f>
        <v>0</v>
      </c>
      <c r="F140" s="941">
        <f>'3. PREÇOS UNITÁRIOS'!D47</f>
        <v>10721.077999999998</v>
      </c>
      <c r="G140" s="941">
        <f>E140*F140</f>
        <v>0</v>
      </c>
      <c r="H140" s="904"/>
      <c r="J140" s="189"/>
      <c r="K140" s="189"/>
      <c r="L140" s="189"/>
      <c r="M140" s="189"/>
      <c r="N140" s="189"/>
      <c r="O140" s="189"/>
    </row>
    <row r="141" spans="1:15" s="192" customFormat="1" x14ac:dyDescent="0.2">
      <c r="A141" s="192" t="s">
        <v>275</v>
      </c>
      <c r="B141" s="380" t="str">
        <f>IF(C141="","",$B$126&amp;"."&amp;COUNT($F$127:F141))</f>
        <v>4.1.15</v>
      </c>
      <c r="C141" s="379" t="str">
        <f>'2. DADOS DE ENTRADA'!B237</f>
        <v>Conteiner 39 m³ reserva</v>
      </c>
      <c r="D141" s="190" t="s">
        <v>4</v>
      </c>
      <c r="E141" s="940">
        <f>SUMIFS('2. DADOS DE ENTRADA'!J:J,'2. DADOS DE ENTRADA'!A:A,'7. TRANSBORDO'!A141,'2. DADOS DE ENTRADA'!B:B,'7. TRANSBORDO'!C141)</f>
        <v>0</v>
      </c>
      <c r="F141" s="941">
        <f>'3. PREÇOS UNITÁRIOS'!D47</f>
        <v>10721.077999999998</v>
      </c>
      <c r="G141" s="941">
        <f t="shared" si="5"/>
        <v>0</v>
      </c>
      <c r="H141" s="904"/>
      <c r="J141" s="189"/>
      <c r="K141" s="189"/>
      <c r="L141" s="189"/>
      <c r="M141" s="189"/>
      <c r="N141" s="189"/>
      <c r="O141" s="189"/>
    </row>
    <row r="142" spans="1:15" s="192" customFormat="1" ht="15" x14ac:dyDescent="0.25">
      <c r="B142" s="541"/>
      <c r="C142" s="529"/>
      <c r="D142" s="529"/>
      <c r="E142" s="1073"/>
      <c r="F142" s="1074" t="s">
        <v>36</v>
      </c>
      <c r="G142" s="1075">
        <f>SUM(G127:G141)</f>
        <v>0</v>
      </c>
      <c r="H142" s="1076"/>
      <c r="J142" s="189"/>
      <c r="K142" s="189"/>
      <c r="L142" s="189"/>
      <c r="M142" s="189"/>
      <c r="N142" s="189"/>
      <c r="O142" s="189"/>
    </row>
    <row r="143" spans="1:15" s="192" customFormat="1" ht="15" x14ac:dyDescent="0.25">
      <c r="B143" s="386"/>
      <c r="C143" s="387"/>
      <c r="D143" s="387"/>
      <c r="E143" s="961"/>
      <c r="F143" s="877"/>
      <c r="G143" s="861"/>
      <c r="H143" s="962"/>
    </row>
    <row r="144" spans="1:15" s="192" customFormat="1" ht="15" x14ac:dyDescent="0.25">
      <c r="B144" s="482" t="s">
        <v>94</v>
      </c>
      <c r="C144" s="483" t="s">
        <v>360</v>
      </c>
      <c r="D144" s="484"/>
      <c r="E144" s="1097"/>
      <c r="F144" s="1097"/>
      <c r="G144" s="1097"/>
      <c r="H144" s="1098"/>
      <c r="J144" s="189"/>
      <c r="K144" s="189"/>
      <c r="L144" s="189"/>
      <c r="M144" s="189"/>
      <c r="N144" s="189"/>
      <c r="O144" s="189"/>
    </row>
    <row r="145" spans="1:15" s="192" customFormat="1" x14ac:dyDescent="0.2">
      <c r="A145" s="192" t="s">
        <v>275</v>
      </c>
      <c r="B145" s="380" t="str">
        <f>IF(C145="","",$B$144&amp;"."&amp;COUNT($F$145:F145))</f>
        <v>4.2.1</v>
      </c>
      <c r="C145" s="189" t="str">
        <f>'2. DADOS DE ENTRADA'!B228</f>
        <v>Veículo de apoio tipo picape.</v>
      </c>
      <c r="D145" s="193" t="s">
        <v>4</v>
      </c>
      <c r="E145" s="946">
        <f>SUMIFS('2. DADOS DE ENTRADA'!J:J,'2. DADOS DE ENTRADA'!A:A,'7. TRANSBORDO'!A145,'2. DADOS DE ENTRADA'!B:B,'7. TRANSBORDO'!C145)</f>
        <v>0</v>
      </c>
      <c r="F145" s="927">
        <f>'3. PREÇOS UNITÁRIOS'!D38</f>
        <v>0</v>
      </c>
      <c r="G145" s="927">
        <f t="shared" si="5"/>
        <v>0</v>
      </c>
      <c r="H145" s="904"/>
      <c r="J145" s="189"/>
      <c r="K145" s="189"/>
      <c r="L145" s="189"/>
      <c r="M145" s="189"/>
      <c r="N145" s="189"/>
      <c r="O145" s="189"/>
    </row>
    <row r="146" spans="1:15" s="192" customFormat="1" x14ac:dyDescent="0.2">
      <c r="A146" s="192" t="s">
        <v>275</v>
      </c>
      <c r="B146" s="380" t="str">
        <f>IF(C146="","",$B$144&amp;"."&amp;COUNT($F$145:F146))</f>
        <v/>
      </c>
      <c r="C146" s="189"/>
      <c r="D146" s="193"/>
      <c r="E146" s="946"/>
      <c r="F146" s="927"/>
      <c r="G146" s="927"/>
      <c r="H146" s="904"/>
      <c r="J146" s="189"/>
      <c r="K146" s="189"/>
      <c r="L146" s="189"/>
      <c r="M146" s="189"/>
      <c r="N146" s="189"/>
      <c r="O146" s="189"/>
    </row>
    <row r="147" spans="1:15" ht="15" x14ac:dyDescent="0.25">
      <c r="B147" s="543"/>
      <c r="C147" s="524"/>
      <c r="D147" s="524"/>
      <c r="E147" s="1069"/>
      <c r="F147" s="1070" t="s">
        <v>36</v>
      </c>
      <c r="G147" s="1071">
        <f>SUM(G145:G146)</f>
        <v>0</v>
      </c>
      <c r="H147" s="1072"/>
    </row>
    <row r="148" spans="1:15" ht="15" x14ac:dyDescent="0.2">
      <c r="B148" s="508"/>
      <c r="C148" s="509"/>
      <c r="D148" s="509" t="s">
        <v>309</v>
      </c>
      <c r="E148" s="1106"/>
      <c r="F148" s="1106"/>
      <c r="G148" s="1107">
        <f>G142+G147</f>
        <v>0</v>
      </c>
      <c r="H148" s="1108"/>
      <c r="I148" s="414"/>
    </row>
    <row r="149" spans="1:15" x14ac:dyDescent="0.2">
      <c r="B149" s="335"/>
      <c r="E149" s="881"/>
      <c r="F149" s="881"/>
      <c r="G149" s="881"/>
      <c r="H149" s="871"/>
    </row>
    <row r="150" spans="1:15" ht="15" x14ac:dyDescent="0.2">
      <c r="B150" s="420" t="s">
        <v>48</v>
      </c>
      <c r="C150" s="421" t="s">
        <v>49</v>
      </c>
      <c r="D150" s="422"/>
      <c r="E150" s="1041"/>
      <c r="F150" s="1041"/>
      <c r="G150" s="1041"/>
      <c r="H150" s="1042"/>
      <c r="J150" s="192"/>
      <c r="K150" s="192"/>
      <c r="L150" s="192"/>
      <c r="M150" s="192"/>
    </row>
    <row r="151" spans="1:15" ht="15" x14ac:dyDescent="0.2">
      <c r="B151" s="284"/>
      <c r="C151" s="285"/>
      <c r="D151" s="286"/>
      <c r="E151" s="895"/>
      <c r="F151" s="895"/>
      <c r="G151" s="895"/>
      <c r="H151" s="896"/>
      <c r="J151" s="192"/>
      <c r="K151" s="192"/>
      <c r="L151" s="192"/>
      <c r="M151" s="192"/>
    </row>
    <row r="152" spans="1:15" ht="15" x14ac:dyDescent="0.2">
      <c r="B152" s="420" t="s">
        <v>7</v>
      </c>
      <c r="C152" s="421" t="s">
        <v>8</v>
      </c>
      <c r="D152" s="422" t="s">
        <v>9</v>
      </c>
      <c r="E152" s="1041" t="s">
        <v>10</v>
      </c>
      <c r="F152" s="1041" t="s">
        <v>11</v>
      </c>
      <c r="G152" s="1041" t="s">
        <v>12</v>
      </c>
      <c r="H152" s="1042"/>
      <c r="I152" s="474"/>
      <c r="J152" s="192"/>
      <c r="K152" s="192"/>
      <c r="L152" s="192"/>
      <c r="M152" s="192"/>
    </row>
    <row r="153" spans="1:15" ht="15" x14ac:dyDescent="0.25">
      <c r="B153" s="497" t="s">
        <v>96</v>
      </c>
      <c r="C153" s="498" t="s">
        <v>101</v>
      </c>
      <c r="D153" s="499"/>
      <c r="E153" s="1088"/>
      <c r="F153" s="1088"/>
      <c r="G153" s="1088"/>
      <c r="H153" s="1089"/>
      <c r="J153" s="192"/>
      <c r="K153" s="192"/>
      <c r="L153" s="192"/>
      <c r="M153" s="192"/>
    </row>
    <row r="154" spans="1:15" x14ac:dyDescent="0.2">
      <c r="B154" s="335" t="s">
        <v>99</v>
      </c>
      <c r="C154" s="379" t="s">
        <v>305</v>
      </c>
      <c r="D154" s="190" t="s">
        <v>1</v>
      </c>
      <c r="E154" s="954">
        <f>'2. DADOS DE ENTRADA'!C215</f>
        <v>0.65180000000000005</v>
      </c>
      <c r="F154" s="1000">
        <f>(F128*E128)-(E128*6*F204)</f>
        <v>0</v>
      </c>
      <c r="G154" s="1109">
        <f>(F154/'2. DADOS DE ENTRADA'!D215)*E154</f>
        <v>0</v>
      </c>
      <c r="H154" s="871"/>
      <c r="I154" s="413"/>
      <c r="J154" s="413"/>
      <c r="K154" s="192"/>
      <c r="L154" s="192"/>
      <c r="M154" s="192"/>
    </row>
    <row r="155" spans="1:15" x14ac:dyDescent="0.2">
      <c r="B155" s="335" t="s">
        <v>73</v>
      </c>
      <c r="C155" s="379" t="s">
        <v>306</v>
      </c>
      <c r="D155" s="190" t="s">
        <v>1</v>
      </c>
      <c r="E155" s="954">
        <f>'2. DADOS DE ENTRADA'!C217</f>
        <v>0.65180000000000005</v>
      </c>
      <c r="F155" s="1109">
        <f>(F129*E129)-(E129*6*F204)</f>
        <v>0</v>
      </c>
      <c r="G155" s="1109">
        <f>(F155/'2. DADOS DE ENTRADA'!D217)*E155</f>
        <v>0</v>
      </c>
      <c r="H155" s="871"/>
      <c r="I155" s="413"/>
      <c r="J155" s="475"/>
      <c r="K155" s="192"/>
      <c r="L155" s="192"/>
      <c r="M155" s="192"/>
    </row>
    <row r="156" spans="1:15" x14ac:dyDescent="0.2">
      <c r="B156" s="335" t="s">
        <v>78</v>
      </c>
      <c r="C156" s="379" t="s">
        <v>307</v>
      </c>
      <c r="D156" s="190" t="s">
        <v>1</v>
      </c>
      <c r="E156" s="954">
        <f>'2. DADOS DE ENTRADA'!C215</f>
        <v>0.65180000000000005</v>
      </c>
      <c r="F156" s="1109">
        <f>F131*E131</f>
        <v>0</v>
      </c>
      <c r="G156" s="1109">
        <f>(F156/'2. DADOS DE ENTRADA'!D215)*'7. TRANSBORDO'!E156</f>
        <v>0</v>
      </c>
      <c r="H156" s="871"/>
      <c r="I156" s="413"/>
      <c r="J156" s="413"/>
      <c r="K156" s="192"/>
      <c r="L156" s="192"/>
      <c r="M156" s="192"/>
    </row>
    <row r="157" spans="1:15" x14ac:dyDescent="0.2">
      <c r="B157" s="335" t="s">
        <v>361</v>
      </c>
      <c r="C157" s="379" t="s">
        <v>308</v>
      </c>
      <c r="D157" s="190" t="s">
        <v>1</v>
      </c>
      <c r="E157" s="954">
        <f>'2. DADOS DE ENTRADA'!C217</f>
        <v>0.65180000000000005</v>
      </c>
      <c r="F157" s="1109">
        <f>F132*E132</f>
        <v>0</v>
      </c>
      <c r="G157" s="1109">
        <f>(F157/'2. DADOS DE ENTRADA'!D217)*'7. TRANSBORDO'!E157</f>
        <v>0</v>
      </c>
      <c r="H157" s="871"/>
      <c r="I157" s="413"/>
      <c r="J157" s="224"/>
    </row>
    <row r="158" spans="1:15" ht="28.5" x14ac:dyDescent="0.2">
      <c r="B158" s="335" t="s">
        <v>364</v>
      </c>
      <c r="C158" s="382" t="s">
        <v>297</v>
      </c>
      <c r="D158" s="193" t="s">
        <v>1</v>
      </c>
      <c r="E158" s="957">
        <f>'2. DADOS DE ENTRADA'!C219</f>
        <v>0.65180000000000005</v>
      </c>
      <c r="F158" s="1000">
        <f>F133*E133</f>
        <v>0</v>
      </c>
      <c r="G158" s="1110">
        <f>(F158/'2. DADOS DE ENTRADA'!D219)*'7. TRANSBORDO'!E158</f>
        <v>0</v>
      </c>
      <c r="H158" s="871"/>
      <c r="I158" s="413"/>
      <c r="J158" s="224"/>
    </row>
    <row r="159" spans="1:15" ht="28.5" x14ac:dyDescent="0.2">
      <c r="B159" s="335" t="s">
        <v>363</v>
      </c>
      <c r="C159" s="382" t="s">
        <v>302</v>
      </c>
      <c r="D159" s="193" t="s">
        <v>1</v>
      </c>
      <c r="E159" s="957">
        <f>'2. DADOS DE ENTRADA'!C222</f>
        <v>0.65180000000000005</v>
      </c>
      <c r="F159" s="1000">
        <f>F135*E135</f>
        <v>0</v>
      </c>
      <c r="G159" s="1110">
        <f>(F159/'2. DADOS DE ENTRADA'!D222)*'7. TRANSBORDO'!E159</f>
        <v>0</v>
      </c>
      <c r="H159" s="871"/>
      <c r="I159" s="413"/>
      <c r="J159" s="224"/>
    </row>
    <row r="160" spans="1:15" x14ac:dyDescent="0.2">
      <c r="B160" s="335" t="s">
        <v>362</v>
      </c>
      <c r="C160" s="379" t="str">
        <f t="shared" ref="C160:C165" si="6">C136</f>
        <v xml:space="preserve">Caminhão para Roll on Roll off </v>
      </c>
      <c r="D160" s="193" t="s">
        <v>1</v>
      </c>
      <c r="E160" s="957">
        <f>'2. DADOS DE ENTRADA'!C226</f>
        <v>0.65180000000000005</v>
      </c>
      <c r="F160" s="1000">
        <f>(F136*E136)-(E136*10*F204)</f>
        <v>0</v>
      </c>
      <c r="G160" s="1110">
        <f>(F160/'2. DADOS DE ENTRADA'!D232)*'7. TRANSBORDO'!E160</f>
        <v>0</v>
      </c>
      <c r="H160" s="871"/>
      <c r="I160" s="413"/>
      <c r="J160" s="224"/>
    </row>
    <row r="161" spans="2:10" x14ac:dyDescent="0.2">
      <c r="B161" s="335" t="s">
        <v>365</v>
      </c>
      <c r="C161" s="379" t="str">
        <f t="shared" si="6"/>
        <v>Caminhão para Roll on Roll off reserva</v>
      </c>
      <c r="D161" s="193" t="s">
        <v>1</v>
      </c>
      <c r="E161" s="957">
        <f>'2. DADOS DE ENTRADA'!C227</f>
        <v>0.65180000000000005</v>
      </c>
      <c r="F161" s="1000">
        <f>(F137*E137)-(E137*10*F204)</f>
        <v>0</v>
      </c>
      <c r="G161" s="1110">
        <f>(F161/'2. DADOS DE ENTRADA'!D233)*'7. TRANSBORDO'!E161</f>
        <v>0</v>
      </c>
      <c r="H161" s="871"/>
      <c r="I161" s="413"/>
      <c r="J161" s="224"/>
    </row>
    <row r="162" spans="2:10" ht="28.5" x14ac:dyDescent="0.2">
      <c r="B162" s="335" t="s">
        <v>366</v>
      </c>
      <c r="C162" s="379" t="str">
        <f t="shared" si="6"/>
        <v>Equipamento Roll on Roll off operando 1 turno</v>
      </c>
      <c r="D162" s="193" t="s">
        <v>1</v>
      </c>
      <c r="E162" s="957">
        <f>'2. DADOS DE ENTRADA'!C230</f>
        <v>0.65180000000000005</v>
      </c>
      <c r="F162" s="1000">
        <f>E138*F138</f>
        <v>0</v>
      </c>
      <c r="G162" s="1110">
        <f>(F162/'2. DADOS DE ENTRADA'!D234)*'7. TRANSBORDO'!E162</f>
        <v>0</v>
      </c>
      <c r="H162" s="871"/>
      <c r="I162" s="413"/>
      <c r="J162" s="224"/>
    </row>
    <row r="163" spans="2:10" x14ac:dyDescent="0.2">
      <c r="B163" s="335" t="s">
        <v>367</v>
      </c>
      <c r="C163" s="379" t="str">
        <f t="shared" si="6"/>
        <v>Equipamento Roll on Roll off reserva</v>
      </c>
      <c r="D163" s="193" t="s">
        <v>1</v>
      </c>
      <c r="E163" s="957">
        <f>'2. DADOS DE ENTRADA'!C231</f>
        <v>0.65180000000000005</v>
      </c>
      <c r="F163" s="1000">
        <f>E139*F139</f>
        <v>0</v>
      </c>
      <c r="G163" s="1110">
        <f>(F163/'2. DADOS DE ENTRADA'!D235)*'7. TRANSBORDO'!E163</f>
        <v>0</v>
      </c>
      <c r="H163" s="871"/>
      <c r="I163" s="413"/>
      <c r="J163" s="224"/>
    </row>
    <row r="164" spans="2:10" x14ac:dyDescent="0.2">
      <c r="B164" s="335" t="s">
        <v>590</v>
      </c>
      <c r="C164" s="379" t="str">
        <f t="shared" si="6"/>
        <v>Conteiner 39 m³ operando 1 turno</v>
      </c>
      <c r="D164" s="193" t="s">
        <v>1</v>
      </c>
      <c r="E164" s="957">
        <f>'2. DADOS DE ENTRADA'!C232</f>
        <v>0.65180000000000005</v>
      </c>
      <c r="F164" s="1000">
        <f>E140*F140</f>
        <v>0</v>
      </c>
      <c r="G164" s="1110">
        <f>(F164/'2. DADOS DE ENTRADA'!D236)*'7. TRANSBORDO'!E164</f>
        <v>0</v>
      </c>
      <c r="H164" s="871"/>
      <c r="I164" s="413"/>
      <c r="J164" s="224"/>
    </row>
    <row r="165" spans="2:10" x14ac:dyDescent="0.2">
      <c r="B165" s="335" t="s">
        <v>591</v>
      </c>
      <c r="C165" s="379" t="str">
        <f t="shared" si="6"/>
        <v>Conteiner 39 m³ reserva</v>
      </c>
      <c r="D165" s="193" t="s">
        <v>1</v>
      </c>
      <c r="E165" s="957">
        <f>'2. DADOS DE ENTRADA'!C233</f>
        <v>0.65180000000000005</v>
      </c>
      <c r="F165" s="1000">
        <f>E141*F141</f>
        <v>0</v>
      </c>
      <c r="G165" s="1110">
        <f>(F165/'2. DADOS DE ENTRADA'!D237)*'7. TRANSBORDO'!E165</f>
        <v>0</v>
      </c>
      <c r="H165" s="871"/>
      <c r="I165" s="413"/>
      <c r="J165" s="224"/>
    </row>
    <row r="166" spans="2:10" ht="15" x14ac:dyDescent="0.25">
      <c r="B166" s="540"/>
      <c r="C166" s="529"/>
      <c r="D166" s="529"/>
      <c r="E166" s="1073"/>
      <c r="F166" s="1074" t="s">
        <v>36</v>
      </c>
      <c r="G166" s="1075">
        <f>SUM(G154:G165)</f>
        <v>0</v>
      </c>
      <c r="H166" s="1076"/>
      <c r="I166" s="413"/>
      <c r="J166" s="224"/>
    </row>
    <row r="167" spans="2:10" s="192" customFormat="1" ht="15" x14ac:dyDescent="0.25">
      <c r="B167" s="386"/>
      <c r="C167" s="387"/>
      <c r="D167" s="387"/>
      <c r="E167" s="961"/>
      <c r="F167" s="877"/>
      <c r="G167" s="861"/>
      <c r="H167" s="962"/>
      <c r="I167" s="413"/>
      <c r="J167" s="413"/>
    </row>
    <row r="168" spans="2:10" ht="15" x14ac:dyDescent="0.25">
      <c r="B168" s="497" t="s">
        <v>125</v>
      </c>
      <c r="C168" s="498" t="s">
        <v>51</v>
      </c>
      <c r="D168" s="499"/>
      <c r="E168" s="1088"/>
      <c r="F168" s="1088"/>
      <c r="G168" s="1088"/>
      <c r="H168" s="1089"/>
    </row>
    <row r="169" spans="2:10" s="192" customFormat="1" x14ac:dyDescent="0.2">
      <c r="B169" s="389" t="s">
        <v>368</v>
      </c>
      <c r="C169" s="363" t="s">
        <v>633</v>
      </c>
      <c r="D169" s="364" t="s">
        <v>1</v>
      </c>
      <c r="E169" s="963">
        <f>'2. DADOS DE ENTRADA'!C228</f>
        <v>0.65180000000000005</v>
      </c>
      <c r="F169" s="926">
        <f>(E145*F145)-(E145*4*F215)</f>
        <v>0</v>
      </c>
      <c r="G169" s="926">
        <f>(F169/'2. DADOS DE ENTRADA'!D228)*E169</f>
        <v>0</v>
      </c>
      <c r="H169" s="913"/>
      <c r="I169" s="413"/>
      <c r="J169" s="413"/>
    </row>
    <row r="170" spans="2:10" ht="28.5" x14ac:dyDescent="0.2">
      <c r="B170" s="545" t="s">
        <v>369</v>
      </c>
      <c r="C170" s="379" t="s">
        <v>634</v>
      </c>
      <c r="D170" s="190" t="s">
        <v>1</v>
      </c>
      <c r="E170" s="860">
        <f>'2. DADOS DE ENTRADA'!C229</f>
        <v>0.65180000000000005</v>
      </c>
      <c r="F170" s="927">
        <f>(E146*F146)-(E146*4*F215)</f>
        <v>0</v>
      </c>
      <c r="G170" s="927">
        <f>(F170/'2. DADOS DE ENTRADA'!D229)*'7. TRANSBORDO'!E170</f>
        <v>0</v>
      </c>
      <c r="H170" s="871"/>
    </row>
    <row r="171" spans="2:10" ht="15" x14ac:dyDescent="0.25">
      <c r="B171" s="540"/>
      <c r="C171" s="529"/>
      <c r="D171" s="529"/>
      <c r="E171" s="1073"/>
      <c r="F171" s="1074" t="s">
        <v>36</v>
      </c>
      <c r="G171" s="1075">
        <f>SUM(G169:G170)</f>
        <v>0</v>
      </c>
      <c r="H171" s="1076"/>
      <c r="I171" s="391"/>
      <c r="J171" s="224"/>
    </row>
    <row r="172" spans="2:10" x14ac:dyDescent="0.2">
      <c r="B172" s="335"/>
      <c r="D172" s="190"/>
      <c r="E172" s="857"/>
      <c r="F172" s="881"/>
      <c r="G172" s="964"/>
      <c r="H172" s="965"/>
      <c r="I172" s="391"/>
    </row>
    <row r="173" spans="2:10" ht="15" x14ac:dyDescent="0.25">
      <c r="B173" s="497" t="s">
        <v>126</v>
      </c>
      <c r="C173" s="546" t="s">
        <v>119</v>
      </c>
      <c r="D173" s="547" t="s">
        <v>1</v>
      </c>
      <c r="E173" s="1111">
        <v>1.06</v>
      </c>
      <c r="F173" s="1112">
        <f>SUM(F154:F165,F169:F170)</f>
        <v>0</v>
      </c>
      <c r="G173" s="1113">
        <f>F173*E173/100</f>
        <v>0</v>
      </c>
      <c r="H173" s="1114"/>
      <c r="I173" s="391"/>
    </row>
    <row r="174" spans="2:10" x14ac:dyDescent="0.2">
      <c r="B174" s="335"/>
      <c r="D174" s="190"/>
      <c r="E174" s="857"/>
      <c r="F174" s="881"/>
      <c r="G174" s="881"/>
      <c r="H174" s="871"/>
    </row>
    <row r="175" spans="2:10" ht="15" x14ac:dyDescent="0.25">
      <c r="B175" s="497" t="s">
        <v>127</v>
      </c>
      <c r="C175" s="498" t="s">
        <v>52</v>
      </c>
      <c r="D175" s="499"/>
      <c r="E175" s="1088"/>
      <c r="F175" s="1088" t="s">
        <v>102</v>
      </c>
      <c r="G175" s="1088" t="s">
        <v>105</v>
      </c>
      <c r="H175" s="1089"/>
    </row>
    <row r="176" spans="2:10" x14ac:dyDescent="0.2">
      <c r="B176" s="335" t="s">
        <v>316</v>
      </c>
      <c r="C176" s="363" t="s">
        <v>123</v>
      </c>
      <c r="D176" s="364" t="s">
        <v>4</v>
      </c>
      <c r="E176" s="922">
        <f>E127+E128+E129</f>
        <v>0</v>
      </c>
      <c r="F176" s="926">
        <f>'3. PREÇOS UNITÁRIOS'!D49</f>
        <v>2341.25</v>
      </c>
      <c r="G176" s="926">
        <f>E176*F176</f>
        <v>0</v>
      </c>
      <c r="H176" s="998"/>
    </row>
    <row r="177" spans="2:10" x14ac:dyDescent="0.2">
      <c r="B177" s="335" t="s">
        <v>317</v>
      </c>
      <c r="C177" s="192" t="s">
        <v>602</v>
      </c>
      <c r="D177" s="190" t="s">
        <v>4</v>
      </c>
      <c r="E177" s="924">
        <f>E136+E137</f>
        <v>0</v>
      </c>
      <c r="F177" s="927">
        <f>'3. PREÇOS UNITÁRIOS'!D50</f>
        <v>2889.76</v>
      </c>
      <c r="G177" s="927">
        <f t="shared" ref="G177:G180" si="7">E177*F177</f>
        <v>0</v>
      </c>
      <c r="H177" s="871"/>
    </row>
    <row r="178" spans="2:10" x14ac:dyDescent="0.2">
      <c r="B178" s="335" t="s">
        <v>318</v>
      </c>
      <c r="C178" s="192" t="s">
        <v>85</v>
      </c>
      <c r="D178" s="190" t="s">
        <v>4</v>
      </c>
      <c r="E178" s="924">
        <f>E145+E146</f>
        <v>0</v>
      </c>
      <c r="F178" s="927">
        <f>'3. PREÇOS UNITÁRIOS'!D51</f>
        <v>0</v>
      </c>
      <c r="G178" s="927">
        <f t="shared" si="7"/>
        <v>0</v>
      </c>
      <c r="H178" s="871"/>
    </row>
    <row r="179" spans="2:10" x14ac:dyDescent="0.2">
      <c r="B179" s="335" t="s">
        <v>319</v>
      </c>
      <c r="C179" s="192" t="s">
        <v>601</v>
      </c>
      <c r="D179" s="190"/>
      <c r="E179" s="924">
        <f>E177</f>
        <v>0</v>
      </c>
      <c r="F179" s="927">
        <f>'3. PREÇOS UNITÁRIOS'!D52</f>
        <v>150</v>
      </c>
      <c r="G179" s="927">
        <f t="shared" si="7"/>
        <v>0</v>
      </c>
      <c r="H179" s="871"/>
    </row>
    <row r="180" spans="2:10" x14ac:dyDescent="0.2">
      <c r="B180" s="335" t="s">
        <v>320</v>
      </c>
      <c r="C180" s="192" t="s">
        <v>569</v>
      </c>
      <c r="D180" s="190" t="s">
        <v>4</v>
      </c>
      <c r="E180" s="924">
        <f>E178</f>
        <v>0</v>
      </c>
      <c r="F180" s="927">
        <f>'3. PREÇOS UNITÁRIOS'!D53</f>
        <v>142.69</v>
      </c>
      <c r="G180" s="927">
        <f t="shared" si="7"/>
        <v>0</v>
      </c>
      <c r="H180" s="871"/>
    </row>
    <row r="181" spans="2:10" ht="15" x14ac:dyDescent="0.25">
      <c r="B181" s="551"/>
      <c r="C181" s="552"/>
      <c r="D181" s="552"/>
      <c r="E181" s="1115"/>
      <c r="F181" s="1070" t="s">
        <v>36</v>
      </c>
      <c r="G181" s="1071">
        <f>SUM(G176:G180)</f>
        <v>0</v>
      </c>
      <c r="H181" s="1116"/>
      <c r="I181" s="476"/>
    </row>
    <row r="182" spans="2:10" ht="15" x14ac:dyDescent="0.25">
      <c r="B182" s="541"/>
      <c r="C182" s="537"/>
      <c r="D182" s="537"/>
      <c r="E182" s="1092"/>
      <c r="F182" s="1074" t="s">
        <v>370</v>
      </c>
      <c r="G182" s="1075">
        <f>G181/12</f>
        <v>0</v>
      </c>
      <c r="H182" s="1093"/>
      <c r="I182" s="476"/>
    </row>
    <row r="183" spans="2:10" x14ac:dyDescent="0.2">
      <c r="B183" s="353"/>
      <c r="C183" s="354"/>
      <c r="D183" s="355"/>
      <c r="E183" s="978"/>
      <c r="F183" s="978"/>
      <c r="G183" s="979"/>
      <c r="H183" s="980"/>
      <c r="I183" s="476"/>
    </row>
    <row r="184" spans="2:10" ht="15" x14ac:dyDescent="0.25">
      <c r="B184" s="497" t="s">
        <v>128</v>
      </c>
      <c r="C184" s="498" t="s">
        <v>53</v>
      </c>
      <c r="D184" s="499"/>
      <c r="E184" s="1088"/>
      <c r="F184" s="1088"/>
      <c r="G184" s="1088"/>
      <c r="H184" s="1089"/>
    </row>
    <row r="185" spans="2:10" x14ac:dyDescent="0.2">
      <c r="B185" s="335" t="s">
        <v>312</v>
      </c>
      <c r="C185" s="192" t="s">
        <v>112</v>
      </c>
      <c r="D185" s="190" t="s">
        <v>311</v>
      </c>
      <c r="E185" s="983">
        <f>'2. DADOS DE ENTRADA'!H264/'2. DADOS DE ENTRADA'!D253</f>
        <v>0</v>
      </c>
      <c r="F185" s="927">
        <f>'3. PREÇOS UNITÁRIOS'!D31</f>
        <v>6.29</v>
      </c>
      <c r="G185" s="927">
        <f t="shared" ref="G185:G189" si="8">E185*F185</f>
        <v>0</v>
      </c>
      <c r="H185" s="871"/>
    </row>
    <row r="186" spans="2:10" x14ac:dyDescent="0.2">
      <c r="B186" s="335" t="s">
        <v>313</v>
      </c>
      <c r="C186" s="192" t="s">
        <v>113</v>
      </c>
      <c r="D186" s="190" t="s">
        <v>311</v>
      </c>
      <c r="E186" s="983">
        <f>'2. DADOS DE ENTRADA'!H265/'2. DADOS DE ENTRADA'!D254</f>
        <v>0</v>
      </c>
      <c r="F186" s="927">
        <f>'3. PREÇOS UNITÁRIOS'!D31</f>
        <v>6.29</v>
      </c>
      <c r="G186" s="927">
        <f t="shared" si="8"/>
        <v>0</v>
      </c>
      <c r="H186" s="965"/>
      <c r="I186" s="391"/>
      <c r="J186" s="554"/>
    </row>
    <row r="187" spans="2:10" x14ac:dyDescent="0.2">
      <c r="B187" s="335" t="s">
        <v>314</v>
      </c>
      <c r="C187" s="192" t="s">
        <v>604</v>
      </c>
      <c r="D187" s="190" t="s">
        <v>311</v>
      </c>
      <c r="E187" s="983">
        <f>'2. DADOS DE ENTRADA'!H269/'2. DADOS DE ENTRADA'!D258</f>
        <v>0</v>
      </c>
      <c r="F187" s="927">
        <f>'3. PREÇOS UNITÁRIOS'!D31</f>
        <v>6.29</v>
      </c>
      <c r="G187" s="927">
        <f t="shared" si="8"/>
        <v>0</v>
      </c>
      <c r="H187" s="965"/>
      <c r="I187" s="391"/>
      <c r="J187" s="554"/>
    </row>
    <row r="188" spans="2:10" x14ac:dyDescent="0.2">
      <c r="B188" s="335" t="s">
        <v>315</v>
      </c>
      <c r="C188" s="192" t="s">
        <v>57</v>
      </c>
      <c r="D188" s="190" t="s">
        <v>311</v>
      </c>
      <c r="E188" s="983">
        <f>'2. DADOS DE ENTRADA'!H266/'2. DADOS DE ENTRADA'!D255</f>
        <v>0</v>
      </c>
      <c r="F188" s="927">
        <f>'3. PREÇOS UNITÁRIOS'!D32</f>
        <v>0</v>
      </c>
      <c r="G188" s="927">
        <f t="shared" si="8"/>
        <v>0</v>
      </c>
      <c r="H188" s="871"/>
    </row>
    <row r="189" spans="2:10" x14ac:dyDescent="0.2">
      <c r="B189" s="335" t="s">
        <v>603</v>
      </c>
      <c r="C189" s="192" t="s">
        <v>56</v>
      </c>
      <c r="D189" s="190" t="s">
        <v>311</v>
      </c>
      <c r="E189" s="983">
        <f>'2. DADOS DE ENTRADA'!H267/'2. DADOS DE ENTRADA'!D261</f>
        <v>0</v>
      </c>
      <c r="F189" s="927">
        <f>'3. PREÇOS UNITÁRIOS'!D32</f>
        <v>0</v>
      </c>
      <c r="G189" s="927">
        <f t="shared" si="8"/>
        <v>0</v>
      </c>
      <c r="H189" s="965"/>
      <c r="I189" s="391"/>
    </row>
    <row r="190" spans="2:10" ht="15" x14ac:dyDescent="0.25">
      <c r="B190" s="541"/>
      <c r="C190" s="537"/>
      <c r="D190" s="537"/>
      <c r="E190" s="1092"/>
      <c r="F190" s="1074" t="s">
        <v>36</v>
      </c>
      <c r="G190" s="1075">
        <f>SUM(G185:G189)</f>
        <v>0</v>
      </c>
      <c r="H190" s="1093"/>
      <c r="I190" s="391"/>
    </row>
    <row r="191" spans="2:10" s="192" customFormat="1" ht="15" x14ac:dyDescent="0.25">
      <c r="B191" s="401"/>
      <c r="C191" s="201"/>
      <c r="D191" s="201"/>
      <c r="E191" s="984"/>
      <c r="F191" s="861"/>
      <c r="G191" s="861"/>
      <c r="H191" s="985"/>
      <c r="I191" s="391"/>
    </row>
    <row r="192" spans="2:10" ht="15" x14ac:dyDescent="0.25">
      <c r="B192" s="497" t="s">
        <v>129</v>
      </c>
      <c r="C192" s="498" t="s">
        <v>655</v>
      </c>
      <c r="D192" s="499"/>
      <c r="E192" s="1088"/>
      <c r="F192" s="1088"/>
      <c r="G192" s="1088"/>
      <c r="H192" s="1089"/>
    </row>
    <row r="193" spans="2:9" x14ac:dyDescent="0.2">
      <c r="B193" s="335" t="s">
        <v>321</v>
      </c>
      <c r="C193" s="192" t="s">
        <v>58</v>
      </c>
      <c r="D193" s="190" t="s">
        <v>1</v>
      </c>
      <c r="E193" s="857">
        <v>1.2</v>
      </c>
      <c r="F193" s="964">
        <f>SUM(F154:F165)</f>
        <v>0</v>
      </c>
      <c r="G193" s="901">
        <f>(E193/100)*F193</f>
        <v>0</v>
      </c>
      <c r="H193" s="871"/>
    </row>
    <row r="194" spans="2:9" x14ac:dyDescent="0.2">
      <c r="B194" s="335" t="s">
        <v>322</v>
      </c>
      <c r="C194" s="192" t="s">
        <v>14</v>
      </c>
      <c r="D194" s="190" t="s">
        <v>1</v>
      </c>
      <c r="E194" s="857">
        <v>1.2</v>
      </c>
      <c r="F194" s="964">
        <f>SUM(F169:F170)</f>
        <v>0</v>
      </c>
      <c r="G194" s="901">
        <f>(E194/100)*F194</f>
        <v>0</v>
      </c>
      <c r="H194" s="965"/>
      <c r="I194" s="391"/>
    </row>
    <row r="195" spans="2:9" x14ac:dyDescent="0.2">
      <c r="B195" s="335" t="s">
        <v>666</v>
      </c>
      <c r="C195" s="192" t="s">
        <v>660</v>
      </c>
      <c r="D195" s="190" t="s">
        <v>4</v>
      </c>
      <c r="E195" s="995">
        <f>'2. DADOS DE ENTRADA'!J242+'2. DADOS DE ENTRADA'!J243</f>
        <v>0</v>
      </c>
      <c r="F195" s="964">
        <f>'3. PREÇOS UNITÁRIOS'!D64</f>
        <v>330</v>
      </c>
      <c r="G195" s="901">
        <f>E195*F195</f>
        <v>0</v>
      </c>
      <c r="H195" s="965"/>
      <c r="I195" s="391"/>
    </row>
    <row r="196" spans="2:9" x14ac:dyDescent="0.2">
      <c r="B196" s="335" t="s">
        <v>667</v>
      </c>
      <c r="C196" s="192" t="s">
        <v>664</v>
      </c>
      <c r="D196" s="190" t="s">
        <v>4</v>
      </c>
      <c r="E196" s="995">
        <f>'2. DADOS DE ENTRADA'!J244</f>
        <v>0</v>
      </c>
      <c r="F196" s="964">
        <f>'3. PREÇOS UNITÁRIOS'!D66</f>
        <v>70</v>
      </c>
      <c r="G196" s="901">
        <f>E196*F196</f>
        <v>0</v>
      </c>
      <c r="H196" s="965"/>
      <c r="I196" s="391"/>
    </row>
    <row r="197" spans="2:9" x14ac:dyDescent="0.2">
      <c r="B197" s="335" t="s">
        <v>668</v>
      </c>
      <c r="C197" s="192" t="s">
        <v>661</v>
      </c>
      <c r="D197" s="190" t="s">
        <v>4</v>
      </c>
      <c r="E197" s="995">
        <f>'2. DADOS DE ENTRADA'!J246</f>
        <v>0</v>
      </c>
      <c r="F197" s="964">
        <f>'3. PREÇOS UNITÁRIOS'!D65</f>
        <v>33</v>
      </c>
      <c r="G197" s="901">
        <f>E197*F197</f>
        <v>0</v>
      </c>
      <c r="H197" s="965"/>
      <c r="I197" s="391"/>
    </row>
    <row r="198" spans="2:9" ht="15" x14ac:dyDescent="0.25">
      <c r="B198" s="541"/>
      <c r="C198" s="537"/>
      <c r="D198" s="537"/>
      <c r="E198" s="1092"/>
      <c r="F198" s="1074" t="s">
        <v>36</v>
      </c>
      <c r="G198" s="1075">
        <f>SUM(G193:G197)</f>
        <v>0</v>
      </c>
      <c r="H198" s="1093"/>
      <c r="I198" s="391"/>
    </row>
    <row r="199" spans="2:9" x14ac:dyDescent="0.2">
      <c r="B199" s="335"/>
      <c r="D199" s="190"/>
      <c r="E199" s="857"/>
      <c r="F199" s="964"/>
      <c r="G199" s="901"/>
      <c r="H199" s="871"/>
    </row>
    <row r="200" spans="2:9" ht="15" x14ac:dyDescent="0.25">
      <c r="B200" s="497" t="s">
        <v>130</v>
      </c>
      <c r="C200" s="498" t="s">
        <v>59</v>
      </c>
      <c r="D200" s="499"/>
      <c r="E200" s="1088"/>
      <c r="F200" s="1088"/>
      <c r="G200" s="1088"/>
      <c r="H200" s="1089"/>
    </row>
    <row r="201" spans="2:9" ht="30" x14ac:dyDescent="0.25">
      <c r="B201" s="497" t="s">
        <v>339</v>
      </c>
      <c r="C201" s="498" t="s">
        <v>606</v>
      </c>
      <c r="D201" s="499"/>
      <c r="E201" s="1088"/>
      <c r="F201" s="1088"/>
      <c r="G201" s="1088"/>
      <c r="H201" s="1089"/>
    </row>
    <row r="202" spans="2:9" x14ac:dyDescent="0.2">
      <c r="B202" s="335" t="s">
        <v>342</v>
      </c>
      <c r="C202" s="393" t="s">
        <v>60</v>
      </c>
      <c r="D202" s="394" t="s">
        <v>3</v>
      </c>
      <c r="E202" s="970">
        <f>'2. DADOS DE ENTRADA'!E253</f>
        <v>60000</v>
      </c>
      <c r="F202" s="992"/>
      <c r="G202" s="992"/>
      <c r="H202" s="971"/>
    </row>
    <row r="203" spans="2:9" x14ac:dyDescent="0.2">
      <c r="B203" s="335" t="s">
        <v>343</v>
      </c>
      <c r="C203" s="189" t="s">
        <v>61</v>
      </c>
      <c r="D203" s="193" t="str">
        <f>D202</f>
        <v>Km</v>
      </c>
      <c r="E203" s="972">
        <f>'2. DADOS DE ENTRADA'!H269</f>
        <v>0</v>
      </c>
      <c r="F203" s="993"/>
      <c r="G203" s="993"/>
      <c r="H203" s="884"/>
    </row>
    <row r="204" spans="2:9" x14ac:dyDescent="0.2">
      <c r="B204" s="335" t="s">
        <v>344</v>
      </c>
      <c r="C204" s="192" t="s">
        <v>86</v>
      </c>
      <c r="D204" s="190" t="s">
        <v>4</v>
      </c>
      <c r="E204" s="924">
        <f>'2. DADOS DE ENTRADA'!F258</f>
        <v>0.08</v>
      </c>
      <c r="F204" s="901">
        <f>'3. PREÇOS UNITÁRIOS'!D56</f>
        <v>2240</v>
      </c>
      <c r="G204" s="901">
        <f>E204*F204</f>
        <v>179.20000000000002</v>
      </c>
      <c r="H204" s="884"/>
    </row>
    <row r="205" spans="2:9" x14ac:dyDescent="0.2">
      <c r="B205" s="335" t="s">
        <v>345</v>
      </c>
      <c r="C205" s="192" t="s">
        <v>62</v>
      </c>
      <c r="D205" s="190" t="s">
        <v>4</v>
      </c>
      <c r="E205" s="924">
        <f>'2. DADOS DE ENTRADA'!G258</f>
        <v>0.08</v>
      </c>
      <c r="F205" s="901">
        <f>'3. PREÇOS UNITÁRIOS'!D57</f>
        <v>240</v>
      </c>
      <c r="G205" s="901">
        <f>E205*F205</f>
        <v>19.2</v>
      </c>
      <c r="H205" s="884"/>
    </row>
    <row r="206" spans="2:9" x14ac:dyDescent="0.2">
      <c r="B206" s="335" t="s">
        <v>346</v>
      </c>
      <c r="C206" s="192" t="s">
        <v>63</v>
      </c>
      <c r="D206" s="190" t="s">
        <v>4</v>
      </c>
      <c r="E206" s="924">
        <f>'2. DADOS DE ENTRADA'!H258</f>
        <v>0.08</v>
      </c>
      <c r="F206" s="901">
        <f>'3. PREÇOS UNITÁRIOS'!D58</f>
        <v>120</v>
      </c>
      <c r="G206" s="901">
        <f>E206*F206</f>
        <v>9.6</v>
      </c>
      <c r="H206" s="884"/>
    </row>
    <row r="207" spans="2:9" x14ac:dyDescent="0.2">
      <c r="B207" s="335" t="s">
        <v>347</v>
      </c>
      <c r="C207" s="192" t="s">
        <v>64</v>
      </c>
      <c r="D207" s="190" t="s">
        <v>4</v>
      </c>
      <c r="E207" s="924">
        <f>'2. DADOS DE ENTRADA'!I258</f>
        <v>0.16</v>
      </c>
      <c r="F207" s="901">
        <f>'3. PREÇOS UNITÁRIOS'!D59</f>
        <v>625</v>
      </c>
      <c r="G207" s="901">
        <f>E207*F207</f>
        <v>100</v>
      </c>
      <c r="H207" s="884"/>
    </row>
    <row r="208" spans="2:9" x14ac:dyDescent="0.2">
      <c r="B208" s="335" t="s">
        <v>348</v>
      </c>
      <c r="C208" s="189" t="s">
        <v>65</v>
      </c>
      <c r="D208" s="193" t="s">
        <v>4</v>
      </c>
      <c r="E208" s="972">
        <f>'2. DADOS DE ENTRADA'!J258</f>
        <v>1</v>
      </c>
      <c r="F208" s="994">
        <f>'3. PREÇOS UNITÁRIOS'!D60</f>
        <v>250</v>
      </c>
      <c r="G208" s="994">
        <f>E208*F208</f>
        <v>250</v>
      </c>
      <c r="H208" s="884"/>
    </row>
    <row r="209" spans="1:15" ht="15" x14ac:dyDescent="0.25">
      <c r="B209" s="551"/>
      <c r="C209" s="552"/>
      <c r="D209" s="552"/>
      <c r="E209" s="1115"/>
      <c r="F209" s="1070" t="s">
        <v>36</v>
      </c>
      <c r="G209" s="1071">
        <f>SUM(G204:G208)</f>
        <v>558</v>
      </c>
      <c r="H209" s="1116"/>
      <c r="I209" s="357"/>
    </row>
    <row r="210" spans="1:15" ht="15" x14ac:dyDescent="0.25">
      <c r="B210" s="541"/>
      <c r="C210" s="537"/>
      <c r="D210" s="537"/>
      <c r="E210" s="1092"/>
      <c r="F210" s="1074" t="s">
        <v>370</v>
      </c>
      <c r="G210" s="1075">
        <f>(G209/E202)*E203</f>
        <v>0</v>
      </c>
      <c r="H210" s="1093"/>
      <c r="I210" s="357"/>
    </row>
    <row r="211" spans="1:15" ht="15" x14ac:dyDescent="0.25">
      <c r="A211" s="189"/>
      <c r="B211" s="555"/>
      <c r="C211" s="382"/>
      <c r="D211" s="382"/>
      <c r="E211" s="1117"/>
      <c r="F211" s="882"/>
      <c r="G211" s="1118"/>
      <c r="H211" s="1119"/>
      <c r="I211" s="189"/>
    </row>
    <row r="212" spans="1:15" ht="15" x14ac:dyDescent="0.25">
      <c r="B212" s="497" t="s">
        <v>340</v>
      </c>
      <c r="C212" s="498" t="s">
        <v>67</v>
      </c>
      <c r="D212" s="499"/>
      <c r="E212" s="1088"/>
      <c r="F212" s="1088"/>
      <c r="G212" s="1088"/>
      <c r="H212" s="1089"/>
      <c r="I212" s="357"/>
    </row>
    <row r="213" spans="1:15" x14ac:dyDescent="0.2">
      <c r="B213" s="345" t="s">
        <v>349</v>
      </c>
      <c r="C213" s="192" t="s">
        <v>60</v>
      </c>
      <c r="D213" s="190" t="s">
        <v>3</v>
      </c>
      <c r="E213" s="924">
        <f>'2. DADOS DE ENTRADA'!E255</f>
        <v>60000</v>
      </c>
      <c r="F213" s="881"/>
      <c r="G213" s="881"/>
      <c r="H213" s="871"/>
    </row>
    <row r="214" spans="1:15" x14ac:dyDescent="0.2">
      <c r="B214" s="345" t="s">
        <v>350</v>
      </c>
      <c r="C214" s="192" t="s">
        <v>68</v>
      </c>
      <c r="D214" s="190" t="str">
        <f>D213</f>
        <v>Km</v>
      </c>
      <c r="E214" s="924">
        <f>'2. DADOS DE ENTRADA'!H266</f>
        <v>0</v>
      </c>
      <c r="F214" s="881"/>
      <c r="G214" s="881"/>
      <c r="H214" s="871"/>
    </row>
    <row r="215" spans="1:15" x14ac:dyDescent="0.2">
      <c r="B215" s="345" t="s">
        <v>351</v>
      </c>
      <c r="C215" s="192" t="s">
        <v>120</v>
      </c>
      <c r="D215" s="190" t="s">
        <v>4</v>
      </c>
      <c r="E215" s="924">
        <f>'2. DADOS DE ENTRADA'!F255</f>
        <v>0</v>
      </c>
      <c r="F215" s="964">
        <f>'3. PREÇOS UNITÁRIOS'!D62</f>
        <v>0</v>
      </c>
      <c r="G215" s="964">
        <f>E215*F215</f>
        <v>0</v>
      </c>
      <c r="H215" s="871"/>
    </row>
    <row r="216" spans="1:15" ht="15" x14ac:dyDescent="0.25">
      <c r="B216" s="551"/>
      <c r="C216" s="552"/>
      <c r="D216" s="552"/>
      <c r="E216" s="1115"/>
      <c r="F216" s="1070" t="s">
        <v>36</v>
      </c>
      <c r="G216" s="1071">
        <f>SUM(G215)</f>
        <v>0</v>
      </c>
      <c r="H216" s="1120"/>
      <c r="I216" s="357"/>
    </row>
    <row r="217" spans="1:15" ht="15" x14ac:dyDescent="0.25">
      <c r="B217" s="541"/>
      <c r="C217" s="537"/>
      <c r="D217" s="537"/>
      <c r="E217" s="1092"/>
      <c r="F217" s="1074" t="s">
        <v>370</v>
      </c>
      <c r="G217" s="1075">
        <f>(G216/E213)*E214</f>
        <v>0</v>
      </c>
      <c r="H217" s="1093"/>
      <c r="I217" s="357"/>
    </row>
    <row r="218" spans="1:15" x14ac:dyDescent="0.2">
      <c r="B218" s="335"/>
      <c r="C218" s="189"/>
      <c r="D218" s="189"/>
      <c r="E218" s="993"/>
      <c r="F218" s="993"/>
      <c r="G218" s="993"/>
      <c r="H218" s="884"/>
      <c r="I218" s="357"/>
    </row>
    <row r="219" spans="1:15" ht="15" x14ac:dyDescent="0.25">
      <c r="B219" s="512" t="s">
        <v>341</v>
      </c>
      <c r="C219" s="139" t="s">
        <v>621</v>
      </c>
      <c r="D219" s="513"/>
      <c r="E219" s="1121"/>
      <c r="F219" s="1121"/>
      <c r="G219" s="1121"/>
      <c r="H219" s="1122"/>
      <c r="I219" s="357"/>
    </row>
    <row r="220" spans="1:15" x14ac:dyDescent="0.2">
      <c r="B220" s="362" t="s">
        <v>392</v>
      </c>
      <c r="C220" s="363" t="s">
        <v>621</v>
      </c>
      <c r="D220" s="364" t="s">
        <v>1</v>
      </c>
      <c r="E220" s="997">
        <v>0.1</v>
      </c>
      <c r="F220" s="926">
        <f>G190</f>
        <v>0</v>
      </c>
      <c r="G220" s="926">
        <f>E220*F220</f>
        <v>0</v>
      </c>
      <c r="H220" s="998"/>
      <c r="I220" s="357"/>
    </row>
    <row r="221" spans="1:15" ht="15" x14ac:dyDescent="0.25">
      <c r="B221" s="551"/>
      <c r="C221" s="552"/>
      <c r="D221" s="552"/>
      <c r="E221" s="1115"/>
      <c r="F221" s="1070" t="s">
        <v>36</v>
      </c>
      <c r="G221" s="1071">
        <f>SUM(G220)</f>
        <v>0</v>
      </c>
      <c r="H221" s="1120"/>
    </row>
    <row r="222" spans="1:15" s="192" customFormat="1" ht="15" x14ac:dyDescent="0.25">
      <c r="B222" s="551"/>
      <c r="C222" s="552"/>
      <c r="D222" s="552"/>
      <c r="E222" s="1115"/>
      <c r="F222" s="1074" t="s">
        <v>370</v>
      </c>
      <c r="G222" s="1071">
        <f>G221</f>
        <v>0</v>
      </c>
      <c r="H222" s="1120"/>
      <c r="J222" s="189"/>
      <c r="K222" s="189"/>
      <c r="L222" s="189"/>
      <c r="M222" s="189"/>
      <c r="N222" s="189"/>
      <c r="O222" s="189"/>
    </row>
    <row r="223" spans="1:15" s="192" customFormat="1" ht="15" x14ac:dyDescent="0.2">
      <c r="B223" s="505"/>
      <c r="C223" s="506"/>
      <c r="D223" s="506"/>
      <c r="E223" s="1100" t="s">
        <v>910</v>
      </c>
      <c r="F223" s="1100"/>
      <c r="G223" s="1100">
        <f>G222+G217+G210+G198+G190+G182+G173+G171+G166</f>
        <v>0</v>
      </c>
      <c r="H223" s="1101"/>
      <c r="J223" s="189"/>
      <c r="K223" s="189"/>
      <c r="L223" s="189"/>
      <c r="M223" s="189"/>
      <c r="N223" s="189"/>
      <c r="O223" s="189"/>
    </row>
    <row r="224" spans="1:15" s="192" customFormat="1" ht="15" x14ac:dyDescent="0.2">
      <c r="B224" s="302"/>
      <c r="C224" s="303"/>
      <c r="D224" s="303"/>
      <c r="E224" s="933"/>
      <c r="F224" s="933"/>
      <c r="G224" s="933"/>
      <c r="H224" s="934"/>
    </row>
    <row r="225" spans="2:15" s="192" customFormat="1" ht="15" x14ac:dyDescent="0.2">
      <c r="B225" s="478">
        <v>6</v>
      </c>
      <c r="C225" s="479" t="s">
        <v>534</v>
      </c>
      <c r="D225" s="480"/>
      <c r="E225" s="1102"/>
      <c r="F225" s="1102"/>
      <c r="G225" s="1102"/>
      <c r="H225" s="1103"/>
      <c r="J225" s="189"/>
      <c r="K225" s="189"/>
      <c r="L225" s="189"/>
      <c r="M225" s="189"/>
      <c r="N225" s="189"/>
      <c r="O225" s="189"/>
    </row>
    <row r="226" spans="2:15" s="192" customFormat="1" x14ac:dyDescent="0.2">
      <c r="B226" s="758" t="s">
        <v>100</v>
      </c>
      <c r="C226" s="759" t="s">
        <v>34</v>
      </c>
      <c r="D226" s="760"/>
      <c r="E226" s="1043"/>
      <c r="F226" s="1043"/>
      <c r="G226" s="1043"/>
      <c r="H226" s="1060">
        <f>G43</f>
        <v>0</v>
      </c>
      <c r="J226" s="189"/>
      <c r="K226" s="189"/>
      <c r="L226" s="189"/>
      <c r="M226" s="189"/>
      <c r="N226" s="189"/>
      <c r="O226" s="189"/>
    </row>
    <row r="227" spans="2:15" s="192" customFormat="1" x14ac:dyDescent="0.2">
      <c r="B227" s="758" t="s">
        <v>806</v>
      </c>
      <c r="C227" s="759" t="s">
        <v>37</v>
      </c>
      <c r="D227" s="760"/>
      <c r="E227" s="1043"/>
      <c r="F227" s="1043"/>
      <c r="G227" s="1043"/>
      <c r="H227" s="1060">
        <f>G81</f>
        <v>6176.4990533437194</v>
      </c>
      <c r="J227" s="189"/>
      <c r="K227" s="189"/>
      <c r="L227" s="189"/>
      <c r="M227" s="189"/>
      <c r="N227" s="189"/>
      <c r="O227" s="189"/>
    </row>
    <row r="228" spans="2:15" s="192" customFormat="1" x14ac:dyDescent="0.2">
      <c r="B228" s="758" t="s">
        <v>702</v>
      </c>
      <c r="C228" s="759" t="s">
        <v>724</v>
      </c>
      <c r="D228" s="760"/>
      <c r="E228" s="1043"/>
      <c r="F228" s="1043"/>
      <c r="G228" s="1043"/>
      <c r="H228" s="1060">
        <f>G119</f>
        <v>179.05695555555553</v>
      </c>
      <c r="J228" s="189"/>
      <c r="K228" s="189"/>
      <c r="L228" s="189"/>
      <c r="M228" s="189"/>
      <c r="N228" s="189"/>
      <c r="O228" s="189"/>
    </row>
    <row r="229" spans="2:15" s="192" customFormat="1" x14ac:dyDescent="0.2">
      <c r="B229" s="758" t="s">
        <v>811</v>
      </c>
      <c r="C229" s="759" t="s">
        <v>536</v>
      </c>
      <c r="D229" s="760"/>
      <c r="E229" s="1043"/>
      <c r="F229" s="1043"/>
      <c r="G229" s="1043"/>
      <c r="H229" s="1060">
        <f>G223</f>
        <v>0</v>
      </c>
      <c r="J229" s="189"/>
      <c r="K229" s="189"/>
      <c r="L229" s="189"/>
      <c r="M229" s="189"/>
      <c r="N229" s="189"/>
      <c r="O229" s="189"/>
    </row>
    <row r="230" spans="2:15" s="192" customFormat="1" x14ac:dyDescent="0.2">
      <c r="B230" s="758"/>
      <c r="C230" s="759"/>
      <c r="D230" s="760"/>
      <c r="E230" s="1043"/>
      <c r="F230" s="1043"/>
      <c r="G230" s="1043"/>
      <c r="H230" s="1061"/>
      <c r="J230" s="189"/>
      <c r="K230" s="189"/>
      <c r="L230" s="189"/>
      <c r="M230" s="189"/>
      <c r="N230" s="189"/>
      <c r="O230" s="189"/>
    </row>
    <row r="231" spans="2:15" s="192" customFormat="1" ht="15" x14ac:dyDescent="0.2">
      <c r="B231" s="515"/>
      <c r="C231" s="516" t="s">
        <v>535</v>
      </c>
      <c r="D231" s="516"/>
      <c r="E231" s="1123"/>
      <c r="F231" s="1123"/>
      <c r="G231" s="1100"/>
      <c r="H231" s="1101">
        <f>SUM(H226:H229)</f>
        <v>6355.5560088992752</v>
      </c>
      <c r="J231" s="189"/>
      <c r="K231" s="189"/>
      <c r="L231" s="189"/>
      <c r="M231" s="189"/>
      <c r="N231" s="189"/>
      <c r="O231" s="189"/>
    </row>
    <row r="232" spans="2:15" x14ac:dyDescent="0.2">
      <c r="B232" s="335"/>
      <c r="E232" s="881"/>
      <c r="F232" s="881"/>
      <c r="G232" s="881"/>
      <c r="H232" s="871"/>
    </row>
    <row r="233" spans="2:15" s="192" customFormat="1" ht="15" x14ac:dyDescent="0.2">
      <c r="B233" s="478" t="s">
        <v>537</v>
      </c>
      <c r="C233" s="479" t="s">
        <v>538</v>
      </c>
      <c r="D233" s="480"/>
      <c r="E233" s="1102"/>
      <c r="F233" s="1102"/>
      <c r="G233" s="1102"/>
      <c r="H233" s="1103"/>
      <c r="J233" s="189"/>
      <c r="K233" s="189"/>
      <c r="L233" s="189"/>
      <c r="M233" s="189"/>
      <c r="N233" s="189"/>
      <c r="O233" s="189"/>
    </row>
    <row r="234" spans="2:15" s="192" customFormat="1" ht="15" x14ac:dyDescent="0.2">
      <c r="B234" s="284"/>
      <c r="C234" s="285"/>
      <c r="D234" s="286"/>
      <c r="E234" s="895"/>
      <c r="F234" s="895"/>
      <c r="G234" s="895"/>
      <c r="H234" s="896"/>
    </row>
    <row r="235" spans="2:15" s="192" customFormat="1" ht="15" x14ac:dyDescent="0.2">
      <c r="B235" s="420" t="s">
        <v>7</v>
      </c>
      <c r="C235" s="421" t="s">
        <v>8</v>
      </c>
      <c r="D235" s="422"/>
      <c r="E235" s="1041"/>
      <c r="F235" s="1041" t="s">
        <v>12</v>
      </c>
      <c r="G235" s="1041"/>
      <c r="H235" s="1042"/>
      <c r="J235" s="189"/>
      <c r="K235" s="189"/>
      <c r="L235" s="189"/>
      <c r="M235" s="189"/>
      <c r="N235" s="189"/>
      <c r="O235" s="189"/>
    </row>
    <row r="236" spans="2:15" s="192" customFormat="1" ht="15" x14ac:dyDescent="0.25">
      <c r="B236" s="517" t="s">
        <v>103</v>
      </c>
      <c r="C236" s="518" t="s">
        <v>539</v>
      </c>
      <c r="D236" s="519"/>
      <c r="E236" s="1124"/>
      <c r="F236" s="1125">
        <v>0</v>
      </c>
      <c r="G236" s="1124"/>
      <c r="H236" s="1126"/>
      <c r="J236" s="189"/>
      <c r="K236" s="189"/>
      <c r="L236" s="189"/>
      <c r="M236" s="189"/>
      <c r="N236" s="189"/>
      <c r="O236" s="189"/>
    </row>
    <row r="237" spans="2:15" s="192" customFormat="1" ht="15" x14ac:dyDescent="0.2">
      <c r="B237" s="501"/>
      <c r="C237" s="502" t="s">
        <v>540</v>
      </c>
      <c r="D237" s="502"/>
      <c r="E237" s="1095"/>
      <c r="F237" s="1048">
        <f>SUM(F236:F236)</f>
        <v>0</v>
      </c>
      <c r="G237" s="1048"/>
      <c r="H237" s="1099"/>
      <c r="J237" s="189"/>
      <c r="K237" s="189"/>
      <c r="L237" s="189"/>
      <c r="M237" s="189"/>
      <c r="N237" s="189"/>
      <c r="O237" s="189"/>
    </row>
    <row r="238" spans="2:15" s="192" customFormat="1" x14ac:dyDescent="0.2">
      <c r="B238" s="335"/>
      <c r="C238" s="189"/>
      <c r="D238" s="193"/>
      <c r="E238" s="993"/>
      <c r="F238" s="1062"/>
      <c r="G238" s="881"/>
      <c r="H238" s="871"/>
      <c r="J238" s="189"/>
      <c r="K238" s="189"/>
      <c r="L238" s="189"/>
      <c r="M238" s="189"/>
      <c r="N238" s="189"/>
      <c r="O238" s="189"/>
    </row>
    <row r="239" spans="2:15" s="192" customFormat="1" ht="15" x14ac:dyDescent="0.2">
      <c r="B239" s="515"/>
      <c r="C239" s="516" t="s">
        <v>567</v>
      </c>
      <c r="D239" s="516"/>
      <c r="E239" s="1123"/>
      <c r="F239" s="1100">
        <f>F237+H231</f>
        <v>6355.5560088992752</v>
      </c>
      <c r="G239" s="1100"/>
      <c r="H239" s="1101"/>
      <c r="J239" s="189"/>
      <c r="K239" s="189"/>
      <c r="L239" s="189"/>
      <c r="M239" s="189"/>
      <c r="N239" s="189"/>
      <c r="O239" s="189"/>
    </row>
    <row r="240" spans="2:15" s="192" customFormat="1" x14ac:dyDescent="0.2">
      <c r="B240" s="335"/>
      <c r="C240" s="189"/>
      <c r="D240" s="193"/>
      <c r="E240" s="993"/>
      <c r="F240" s="993"/>
      <c r="G240" s="881"/>
      <c r="H240" s="871"/>
      <c r="J240" s="189"/>
      <c r="K240" s="189"/>
      <c r="L240" s="189"/>
      <c r="M240" s="189"/>
      <c r="N240" s="189"/>
      <c r="O240" s="189"/>
    </row>
    <row r="241" spans="2:15" s="192" customFormat="1" ht="15" x14ac:dyDescent="0.2">
      <c r="B241" s="478" t="s">
        <v>541</v>
      </c>
      <c r="C241" s="479" t="s">
        <v>542</v>
      </c>
      <c r="D241" s="480"/>
      <c r="E241" s="1102"/>
      <c r="F241" s="1103"/>
      <c r="G241" s="1041"/>
      <c r="H241" s="1042"/>
      <c r="J241" s="189"/>
      <c r="K241" s="189"/>
      <c r="L241" s="189"/>
      <c r="M241" s="189"/>
      <c r="N241" s="189"/>
      <c r="O241" s="189"/>
    </row>
    <row r="242" spans="2:15" s="192" customFormat="1" ht="15" x14ac:dyDescent="0.25">
      <c r="B242" s="517" t="s">
        <v>7</v>
      </c>
      <c r="C242" s="518" t="s">
        <v>8</v>
      </c>
      <c r="D242" s="519" t="s">
        <v>9</v>
      </c>
      <c r="E242" s="1124" t="s">
        <v>69</v>
      </c>
      <c r="F242" s="1127" t="s">
        <v>12</v>
      </c>
      <c r="G242" s="881"/>
      <c r="H242" s="871"/>
      <c r="J242" s="189"/>
      <c r="K242" s="189"/>
      <c r="L242" s="189"/>
      <c r="M242" s="189"/>
      <c r="N242" s="189"/>
      <c r="O242" s="189"/>
    </row>
    <row r="243" spans="2:15" s="192" customFormat="1" x14ac:dyDescent="0.2">
      <c r="B243" s="408" t="s">
        <v>104</v>
      </c>
      <c r="C243" s="409" t="s">
        <v>543</v>
      </c>
      <c r="D243" s="193" t="s">
        <v>1</v>
      </c>
      <c r="E243" s="1022">
        <v>4.93</v>
      </c>
      <c r="F243" s="1128"/>
      <c r="G243" s="881"/>
      <c r="H243" s="871"/>
      <c r="J243" s="189"/>
      <c r="K243" s="189"/>
      <c r="L243" s="189"/>
      <c r="M243" s="189"/>
      <c r="N243" s="189"/>
      <c r="O243" s="189"/>
    </row>
    <row r="244" spans="2:15" s="192" customFormat="1" x14ac:dyDescent="0.2">
      <c r="B244" s="408" t="s">
        <v>544</v>
      </c>
      <c r="C244" s="411" t="s">
        <v>545</v>
      </c>
      <c r="D244" s="193" t="s">
        <v>1</v>
      </c>
      <c r="E244" s="1024">
        <v>0.99</v>
      </c>
      <c r="F244" s="1128"/>
      <c r="G244" s="881"/>
      <c r="H244" s="871"/>
      <c r="J244" s="189"/>
      <c r="K244" s="189"/>
      <c r="L244" s="189"/>
      <c r="M244" s="189"/>
      <c r="N244" s="189"/>
      <c r="O244" s="189"/>
    </row>
    <row r="245" spans="2:15" s="192" customFormat="1" x14ac:dyDescent="0.2">
      <c r="B245" s="408" t="s">
        <v>546</v>
      </c>
      <c r="C245" s="411" t="s">
        <v>547</v>
      </c>
      <c r="D245" s="193" t="s">
        <v>1</v>
      </c>
      <c r="E245" s="1024">
        <f>SUM(E246:E247)</f>
        <v>1.88</v>
      </c>
      <c r="F245" s="1128"/>
      <c r="G245" s="881"/>
      <c r="H245" s="871"/>
      <c r="J245" s="189"/>
      <c r="K245" s="189"/>
      <c r="L245" s="189"/>
      <c r="M245" s="189"/>
      <c r="N245" s="189"/>
      <c r="O245" s="189"/>
    </row>
    <row r="246" spans="2:15" s="192" customFormat="1" x14ac:dyDescent="0.2">
      <c r="B246" s="408" t="s">
        <v>548</v>
      </c>
      <c r="C246" s="411" t="s">
        <v>568</v>
      </c>
      <c r="D246" s="193" t="s">
        <v>1</v>
      </c>
      <c r="E246" s="1024">
        <v>0.49</v>
      </c>
      <c r="F246" s="1128"/>
      <c r="G246" s="881"/>
      <c r="H246" s="871"/>
      <c r="J246" s="189"/>
      <c r="K246" s="189"/>
      <c r="L246" s="189"/>
      <c r="M246" s="189"/>
      <c r="N246" s="189"/>
      <c r="O246" s="189"/>
    </row>
    <row r="247" spans="2:15" s="192" customFormat="1" x14ac:dyDescent="0.2">
      <c r="B247" s="408" t="s">
        <v>549</v>
      </c>
      <c r="C247" s="411" t="s">
        <v>551</v>
      </c>
      <c r="D247" s="193" t="s">
        <v>1</v>
      </c>
      <c r="E247" s="1024">
        <v>1.39</v>
      </c>
      <c r="F247" s="1128"/>
      <c r="G247" s="881"/>
      <c r="H247" s="871"/>
      <c r="J247" s="189"/>
      <c r="K247" s="189"/>
      <c r="L247" s="189"/>
      <c r="M247" s="189"/>
      <c r="N247" s="189"/>
      <c r="O247" s="189"/>
    </row>
    <row r="248" spans="2:15" s="192" customFormat="1" x14ac:dyDescent="0.2">
      <c r="B248" s="408" t="s">
        <v>550</v>
      </c>
      <c r="C248" s="411" t="s">
        <v>553</v>
      </c>
      <c r="D248" s="193" t="s">
        <v>1</v>
      </c>
      <c r="E248" s="1024">
        <f>SUM(E249:E251)</f>
        <v>6.65</v>
      </c>
      <c r="F248" s="1128"/>
      <c r="G248" s="881"/>
      <c r="H248" s="871"/>
      <c r="J248" s="189"/>
      <c r="K248" s="189"/>
      <c r="L248" s="189"/>
      <c r="M248" s="189"/>
      <c r="N248" s="189"/>
      <c r="O248" s="189"/>
    </row>
    <row r="249" spans="2:15" s="192" customFormat="1" x14ac:dyDescent="0.2">
      <c r="B249" s="408" t="s">
        <v>552</v>
      </c>
      <c r="C249" s="411" t="s">
        <v>555</v>
      </c>
      <c r="D249" s="193" t="s">
        <v>1</v>
      </c>
      <c r="E249" s="1024">
        <v>3</v>
      </c>
      <c r="F249" s="1128"/>
      <c r="G249" s="881"/>
      <c r="H249" s="871"/>
      <c r="J249" s="189"/>
      <c r="K249" s="189"/>
      <c r="L249" s="189"/>
      <c r="M249" s="189"/>
      <c r="N249" s="189"/>
      <c r="O249" s="189"/>
    </row>
    <row r="250" spans="2:15" s="192" customFormat="1" x14ac:dyDescent="0.2">
      <c r="B250" s="408" t="s">
        <v>554</v>
      </c>
      <c r="C250" s="411" t="s">
        <v>557</v>
      </c>
      <c r="D250" s="193" t="s">
        <v>1</v>
      </c>
      <c r="E250" s="1024">
        <v>0.65</v>
      </c>
      <c r="F250" s="1128"/>
      <c r="G250" s="881"/>
      <c r="H250" s="871"/>
      <c r="J250" s="189"/>
      <c r="K250" s="189"/>
      <c r="L250" s="189"/>
      <c r="M250" s="189"/>
      <c r="N250" s="189"/>
      <c r="O250" s="189"/>
    </row>
    <row r="251" spans="2:15" s="192" customFormat="1" x14ac:dyDescent="0.2">
      <c r="B251" s="408" t="s">
        <v>556</v>
      </c>
      <c r="C251" s="411" t="s">
        <v>559</v>
      </c>
      <c r="D251" s="193" t="s">
        <v>1</v>
      </c>
      <c r="E251" s="1024">
        <v>3</v>
      </c>
      <c r="F251" s="1128"/>
      <c r="G251" s="881"/>
      <c r="H251" s="871"/>
      <c r="J251" s="189"/>
      <c r="K251" s="189"/>
      <c r="L251" s="189"/>
      <c r="M251" s="189"/>
      <c r="N251" s="189"/>
      <c r="O251" s="189"/>
    </row>
    <row r="252" spans="2:15" s="192" customFormat="1" x14ac:dyDescent="0.2">
      <c r="B252" s="408" t="s">
        <v>558</v>
      </c>
      <c r="C252" s="411" t="s">
        <v>561</v>
      </c>
      <c r="D252" s="193" t="s">
        <v>1</v>
      </c>
      <c r="E252" s="1024">
        <v>8.0399999999999991</v>
      </c>
      <c r="F252" s="1128"/>
      <c r="G252" s="881"/>
      <c r="H252" s="871"/>
      <c r="J252" s="189"/>
      <c r="K252" s="189"/>
      <c r="L252" s="189"/>
      <c r="M252" s="189"/>
      <c r="N252" s="189"/>
      <c r="O252" s="189"/>
    </row>
    <row r="253" spans="2:15" s="192" customFormat="1" x14ac:dyDescent="0.2">
      <c r="B253" s="408" t="s">
        <v>560</v>
      </c>
      <c r="C253" s="411" t="s">
        <v>562</v>
      </c>
      <c r="D253" s="193" t="s">
        <v>1</v>
      </c>
      <c r="E253" s="1024">
        <f>(((1+(E243+E245)/100)*(1+E244/100)*(1+E252/100)/(1-E248/100))-1)*100</f>
        <v>24.841949102945904</v>
      </c>
      <c r="F253" s="1128"/>
      <c r="G253" s="881"/>
      <c r="H253" s="871"/>
      <c r="J253" s="189"/>
      <c r="K253" s="189"/>
      <c r="L253" s="189"/>
      <c r="M253" s="189"/>
      <c r="N253" s="189"/>
      <c r="O253" s="189"/>
    </row>
    <row r="254" spans="2:15" s="192" customFormat="1" x14ac:dyDescent="0.2">
      <c r="B254" s="223"/>
      <c r="C254" s="559" t="s">
        <v>563</v>
      </c>
      <c r="D254" s="560"/>
      <c r="E254" s="1129"/>
      <c r="F254" s="1130">
        <f>F239*(E253/100)</f>
        <v>1578.8439889399781</v>
      </c>
      <c r="G254" s="881"/>
      <c r="H254" s="871"/>
      <c r="J254" s="189"/>
      <c r="K254" s="189"/>
      <c r="L254" s="189"/>
      <c r="M254" s="189"/>
      <c r="N254" s="189"/>
      <c r="O254" s="189"/>
    </row>
    <row r="255" spans="2:15" s="192" customFormat="1" ht="15" thickBot="1" x14ac:dyDescent="0.25">
      <c r="B255" s="335"/>
      <c r="C255" s="189"/>
      <c r="D255" s="193"/>
      <c r="E255" s="993"/>
      <c r="F255" s="993"/>
      <c r="G255" s="881"/>
      <c r="H255" s="871"/>
      <c r="J255" s="189"/>
      <c r="K255" s="189"/>
      <c r="L255" s="189"/>
      <c r="M255" s="189"/>
      <c r="N255" s="189"/>
      <c r="O255" s="189"/>
    </row>
    <row r="256" spans="2:15" s="192" customFormat="1" ht="15.75" thickBot="1" x14ac:dyDescent="0.3">
      <c r="B256" s="335"/>
      <c r="C256" s="762" t="s">
        <v>564</v>
      </c>
      <c r="D256" s="747"/>
      <c r="E256" s="1131"/>
      <c r="F256" s="1132">
        <f>F239+F254</f>
        <v>7934.399997839253</v>
      </c>
      <c r="G256" s="993"/>
      <c r="H256" s="884"/>
      <c r="J256" s="189"/>
      <c r="K256" s="189"/>
      <c r="L256" s="189"/>
      <c r="M256" s="189"/>
      <c r="N256" s="189"/>
      <c r="O256" s="189"/>
    </row>
    <row r="257" spans="2:15" s="192" customFormat="1" ht="15.75" thickBot="1" x14ac:dyDescent="0.3">
      <c r="B257" s="335"/>
      <c r="C257" s="765" t="s">
        <v>617</v>
      </c>
      <c r="D257" s="766"/>
      <c r="E257" s="1133"/>
      <c r="F257" s="1134">
        <f>(103.2)</f>
        <v>103.2</v>
      </c>
      <c r="G257" s="1135" t="s">
        <v>761</v>
      </c>
      <c r="H257" s="1136"/>
      <c r="J257" s="189"/>
      <c r="K257" s="189"/>
      <c r="L257" s="189"/>
      <c r="M257" s="189"/>
      <c r="N257" s="189"/>
      <c r="O257" s="189"/>
    </row>
    <row r="258" spans="2:15" s="192" customFormat="1" ht="15" x14ac:dyDescent="0.25">
      <c r="B258" s="353"/>
      <c r="C258" s="769" t="s">
        <v>607</v>
      </c>
      <c r="D258" s="770"/>
      <c r="E258" s="1137"/>
      <c r="F258" s="1138">
        <f>F256/F257</f>
        <v>76.883720909295079</v>
      </c>
      <c r="G258" s="1139"/>
      <c r="H258" s="908"/>
      <c r="J258" s="189"/>
      <c r="K258" s="189"/>
      <c r="L258" s="189"/>
      <c r="M258" s="189"/>
      <c r="N258" s="189"/>
      <c r="O258" s="189"/>
    </row>
  </sheetData>
  <sheetProtection algorithmName="SHA-512" hashValue="kJJeYv4O7kCrkJAkrrZdUDorXGNllAKeC0iomuMSqLdmBZcxgPH7lngmJht+HwGn6LEA3uaHiJ2jy5abLWOIOg==" saltValue="Rsymf1P7sbQUP/oxx3lO0w==" spinCount="100000" sheet="1" objects="1" scenarios="1"/>
  <mergeCells count="2">
    <mergeCell ref="B7:H7"/>
    <mergeCell ref="G257:H257"/>
  </mergeCells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7:O250"/>
  <sheetViews>
    <sheetView showGridLines="0" view="pageBreakPreview" topLeftCell="C1" zoomScaleNormal="100" zoomScaleSheetLayoutView="100" workbookViewId="0">
      <selection activeCell="E12" sqref="E12:H250"/>
    </sheetView>
  </sheetViews>
  <sheetFormatPr defaultColWidth="11.42578125" defaultRowHeight="14.25" x14ac:dyDescent="0.2"/>
  <cols>
    <col min="1" max="1" width="5.140625" style="192" hidden="1" customWidth="1"/>
    <col min="2" max="2" width="11.42578125" style="189" customWidth="1"/>
    <col min="3" max="3" width="44.7109375" style="192" customWidth="1"/>
    <col min="4" max="5" width="17.28515625" style="192" customWidth="1"/>
    <col min="6" max="6" width="16.28515625" style="192" customWidth="1"/>
    <col min="7" max="7" width="18.5703125" style="192" bestFit="1" customWidth="1"/>
    <col min="8" max="8" width="15.28515625" style="192" customWidth="1"/>
    <col min="9" max="9" width="23.7109375" style="192" customWidth="1"/>
    <col min="10" max="10" width="11.42578125" style="189" customWidth="1"/>
    <col min="11" max="12" width="11.42578125" style="189"/>
    <col min="13" max="13" width="12.140625" style="189" bestFit="1" customWidth="1"/>
    <col min="14" max="16384" width="11.42578125" style="189"/>
  </cols>
  <sheetData>
    <row r="7" spans="1:15" ht="15" x14ac:dyDescent="0.25">
      <c r="B7" s="822" t="s">
        <v>846</v>
      </c>
      <c r="C7" s="823"/>
      <c r="D7" s="823"/>
      <c r="E7" s="823"/>
      <c r="F7" s="823"/>
      <c r="G7" s="823"/>
      <c r="H7" s="824"/>
      <c r="I7" s="468"/>
      <c r="J7" s="469"/>
      <c r="K7" s="192"/>
      <c r="L7" s="192"/>
      <c r="M7" s="192"/>
      <c r="N7" s="192"/>
      <c r="O7" s="192"/>
    </row>
    <row r="8" spans="1:15" x14ac:dyDescent="0.2">
      <c r="B8" s="333"/>
      <c r="H8" s="334"/>
      <c r="J8" s="192"/>
      <c r="K8" s="192"/>
      <c r="L8" s="192"/>
      <c r="M8" s="192"/>
      <c r="N8" s="192"/>
      <c r="O8" s="192"/>
    </row>
    <row r="9" spans="1:15" ht="15" x14ac:dyDescent="0.2">
      <c r="B9" s="478" t="s">
        <v>2</v>
      </c>
      <c r="C9" s="479" t="s">
        <v>18</v>
      </c>
      <c r="D9" s="480"/>
      <c r="E9" s="480"/>
      <c r="F9" s="480"/>
      <c r="G9" s="480"/>
      <c r="H9" s="481"/>
    </row>
    <row r="10" spans="1:15" ht="15" x14ac:dyDescent="0.2">
      <c r="B10" s="420" t="s">
        <v>7</v>
      </c>
      <c r="C10" s="422" t="s">
        <v>8</v>
      </c>
      <c r="D10" s="422" t="s">
        <v>9</v>
      </c>
      <c r="E10" s="422" t="s">
        <v>10</v>
      </c>
      <c r="F10" s="422" t="s">
        <v>11</v>
      </c>
      <c r="G10" s="422" t="s">
        <v>12</v>
      </c>
      <c r="H10" s="423"/>
      <c r="I10" s="190"/>
    </row>
    <row r="11" spans="1:15" ht="15" x14ac:dyDescent="0.25">
      <c r="B11" s="482" t="s">
        <v>88</v>
      </c>
      <c r="C11" s="483" t="s">
        <v>19</v>
      </c>
      <c r="D11" s="484"/>
      <c r="E11" s="484"/>
      <c r="F11" s="484"/>
      <c r="G11" s="484"/>
      <c r="H11" s="485"/>
      <c r="I11" s="357"/>
    </row>
    <row r="12" spans="1:15" x14ac:dyDescent="0.2">
      <c r="A12" s="192" t="s">
        <v>96</v>
      </c>
      <c r="B12" s="335" t="str">
        <f>IF(C12="","",$B$11&amp;"."&amp;COUNT($F$12:F12))</f>
        <v>1.1.1</v>
      </c>
      <c r="C12" s="192" t="s">
        <v>20</v>
      </c>
      <c r="D12" s="190" t="s">
        <v>21</v>
      </c>
      <c r="E12" s="857">
        <f>SUMIFS('2. DADOS DE ENTRADA'!C:C,'2. DADOS DE ENTRADA'!A:A,'8. TRANS. DISP. FINAL CC'!A12,'2. DADOS DE ENTRADA'!B:B,'8. TRANS. DISP. FINAL CC'!$C$11)</f>
        <v>173.38</v>
      </c>
      <c r="F12" s="858">
        <f>'3. PREÇOS UNITÁRIOS'!D22/'8. TRANS. DISP. FINAL CC'!E12</f>
        <v>13.474592225170147</v>
      </c>
      <c r="G12" s="858">
        <f>E12*F12</f>
        <v>2336.2248</v>
      </c>
      <c r="H12" s="859"/>
      <c r="I12" s="357"/>
    </row>
    <row r="13" spans="1:15" x14ac:dyDescent="0.2">
      <c r="A13" s="192" t="s">
        <v>88</v>
      </c>
      <c r="B13" s="335" t="str">
        <f>IF(C13="","",$B$11&amp;"."&amp;COUNT($F$12:F13))</f>
        <v>1.1.2</v>
      </c>
      <c r="C13" s="192" t="s">
        <v>22</v>
      </c>
      <c r="D13" s="190" t="s">
        <v>1</v>
      </c>
      <c r="E13" s="860">
        <f>SUMIFS('2. DADOS DE ENTRADA'!C:C,'2. DADOS DE ENTRADA'!A:A,'8. TRANS. DISP. FINAL CC'!A13,'2. DADOS DE ENTRADA'!B:B,'8. TRANS. DISP. FINAL CC'!$C$11)</f>
        <v>0.4</v>
      </c>
      <c r="F13" s="858">
        <f>'3. PREÇOS UNITÁRIOS'!D21</f>
        <v>1412</v>
      </c>
      <c r="G13" s="858">
        <f>E13*F13</f>
        <v>564.80000000000007</v>
      </c>
      <c r="H13" s="859"/>
      <c r="I13" s="337"/>
      <c r="J13" s="224"/>
    </row>
    <row r="14" spans="1:15" ht="15" x14ac:dyDescent="0.25">
      <c r="B14" s="335"/>
      <c r="D14" s="190"/>
      <c r="E14" s="860"/>
      <c r="F14" s="858"/>
      <c r="G14" s="861">
        <f>SUM(G12:G13)</f>
        <v>2901.0248000000001</v>
      </c>
      <c r="H14" s="859"/>
      <c r="I14" s="337"/>
      <c r="J14" s="224"/>
    </row>
    <row r="15" spans="1:15" ht="15" x14ac:dyDescent="0.25">
      <c r="A15" s="192" t="s">
        <v>109</v>
      </c>
      <c r="B15" s="335" t="str">
        <f>IF(C15="","",$B$11&amp;"."&amp;COUNT($F$12:F15))</f>
        <v>1.1.3</v>
      </c>
      <c r="C15" s="192" t="s">
        <v>254</v>
      </c>
      <c r="D15" s="190" t="s">
        <v>21</v>
      </c>
      <c r="E15" s="862">
        <f>SUMIFS('2. DADOS DE ENTRADA'!D:D,'2. DADOS DE ENTRADA'!A:A,'8. TRANS. DISP. FINAL CC'!A15,'2. DADOS DE ENTRADA'!B:B,'8. TRANS. DISP. FINAL CC'!C11)</f>
        <v>0</v>
      </c>
      <c r="F15" s="863">
        <f>(G14/E12)*1.5</f>
        <v>25.098265082477795</v>
      </c>
      <c r="G15" s="863">
        <f>F15*E15</f>
        <v>0</v>
      </c>
      <c r="H15" s="864"/>
      <c r="I15" s="403"/>
    </row>
    <row r="16" spans="1:15" ht="15" x14ac:dyDescent="0.25">
      <c r="A16" s="192" t="s">
        <v>95</v>
      </c>
      <c r="B16" s="335" t="str">
        <f>IF(C16="","",$B$11&amp;"."&amp;COUNT($F$12:F16))</f>
        <v>1.1.4</v>
      </c>
      <c r="C16" s="192" t="s">
        <v>255</v>
      </c>
      <c r="D16" s="190" t="s">
        <v>21</v>
      </c>
      <c r="E16" s="862">
        <f>SUMIFS('2. DADOS DE ENTRADA'!D:D,'2. DADOS DE ENTRADA'!A:A,'8. TRANS. DISP. FINAL CC'!A16,'2. DADOS DE ENTRADA'!B:B,'8. TRANS. DISP. FINAL CC'!C11)</f>
        <v>0</v>
      </c>
      <c r="F16" s="863">
        <f>(G14/E12)*2</f>
        <v>33.464353443303729</v>
      </c>
      <c r="G16" s="863">
        <f>F16*E16</f>
        <v>0</v>
      </c>
      <c r="H16" s="864"/>
      <c r="I16" s="403"/>
      <c r="J16" s="224"/>
    </row>
    <row r="17" spans="1:10" ht="15" x14ac:dyDescent="0.25">
      <c r="A17" s="379"/>
      <c r="B17" s="523" t="str">
        <f>IF(C17="","",$B$11&amp;"."&amp;COUNT($F$12:F17))</f>
        <v/>
      </c>
      <c r="C17" s="524"/>
      <c r="D17" s="524"/>
      <c r="E17" s="1069"/>
      <c r="F17" s="1070" t="s">
        <v>352</v>
      </c>
      <c r="G17" s="1071">
        <f>G14+G15+G16</f>
        <v>2901.0248000000001</v>
      </c>
      <c r="H17" s="1072"/>
      <c r="I17" s="403"/>
    </row>
    <row r="18" spans="1:10" x14ac:dyDescent="0.2">
      <c r="A18" s="192" t="s">
        <v>273</v>
      </c>
      <c r="B18" s="335" t="str">
        <f>IF(C18="","",$B$11&amp;"."&amp;COUNT($F$12:F18))</f>
        <v>1.1.5</v>
      </c>
      <c r="C18" s="192" t="s">
        <v>23</v>
      </c>
      <c r="D18" s="190" t="s">
        <v>1</v>
      </c>
      <c r="E18" s="869">
        <f>SUMIFS('2. DADOS DE ENTRADA'!C:C,'2. DADOS DE ENTRADA'!A:A,'8. TRANS. DISP. FINAL CC'!A18,'2. DADOS DE ENTRADA'!B:B,'8. TRANS. DISP. FINAL CC'!$C$11)</f>
        <v>0.71101040000000004</v>
      </c>
      <c r="F18" s="858">
        <f>G17</f>
        <v>2901.0248000000001</v>
      </c>
      <c r="G18" s="858">
        <f>(E18)*F18</f>
        <v>2062.6588034579204</v>
      </c>
      <c r="H18" s="859"/>
      <c r="I18" s="357"/>
    </row>
    <row r="19" spans="1:10" ht="15" x14ac:dyDescent="0.25">
      <c r="A19" s="379"/>
      <c r="B19" s="523" t="str">
        <f>IF(C19="","",$B$11&amp;"."&amp;COUNT($F$12:F19))</f>
        <v/>
      </c>
      <c r="C19" s="524"/>
      <c r="D19" s="524"/>
      <c r="E19" s="1069"/>
      <c r="F19" s="1070" t="s">
        <v>352</v>
      </c>
      <c r="G19" s="1071">
        <f>G18+G17</f>
        <v>4963.683603457921</v>
      </c>
      <c r="H19" s="1072"/>
      <c r="I19" s="357"/>
    </row>
    <row r="20" spans="1:10" x14ac:dyDescent="0.2">
      <c r="A20" s="192" t="s">
        <v>93</v>
      </c>
      <c r="B20" s="335" t="str">
        <f>IF(C20="","",$B$11&amp;"."&amp;COUNT($F$12:F20))</f>
        <v>1.1.6</v>
      </c>
      <c r="C20" s="192" t="s">
        <v>24</v>
      </c>
      <c r="D20" s="190" t="s">
        <v>25</v>
      </c>
      <c r="E20" s="870">
        <f>SUMIFS('2. DADOS DE ENTRADA'!Y:Y,'2. DADOS DE ENTRADA'!A:A,'8. TRANS. DISP. FINAL CC'!A20,'2. DADOS DE ENTRADA'!B:B,'8. TRANS. DISP. FINAL CC'!$C$11)+SUMIFS('2. DADOS DE ENTRADA'!Z:Z,'2. DADOS DE ENTRADA'!A:A,'8. TRANS. DISP. FINAL CC'!A20,'2. DADOS DE ENTRADA'!B:B,'8. TRANS. DISP. FINAL CC'!$C$11)</f>
        <v>0.11534999999999999</v>
      </c>
      <c r="F20" s="858">
        <f>G19</f>
        <v>4963.683603457921</v>
      </c>
      <c r="G20" s="858">
        <f>E20*F20</f>
        <v>572.56090365887121</v>
      </c>
      <c r="H20" s="859"/>
      <c r="I20" s="357"/>
    </row>
    <row r="21" spans="1:10" x14ac:dyDescent="0.2">
      <c r="A21" s="192" t="s">
        <v>93</v>
      </c>
      <c r="B21" s="335" t="str">
        <f>IF(C21="","",$B$11&amp;"."&amp;COUNT($F$12:F21))</f>
        <v>1.1.7</v>
      </c>
      <c r="C21" s="189" t="s">
        <v>26</v>
      </c>
      <c r="D21" s="193" t="s">
        <v>25</v>
      </c>
      <c r="E21" s="870">
        <f>SUMIFS('2. DADOS DE ENTRADA'!AB:AB,'2. DADOS DE ENTRADA'!A:A,'5. COLETA URBANA SEDE.DISTRITOS'!A22,'2. DADOS DE ENTRADA'!B:B,'5. COLETA URBANA SEDE.DISTRITOS'!$C$12)</f>
        <v>0.1</v>
      </c>
      <c r="F21" s="858">
        <f>G19</f>
        <v>4963.683603457921</v>
      </c>
      <c r="G21" s="858">
        <f>E21*F21</f>
        <v>496.3683603457921</v>
      </c>
      <c r="H21" s="871"/>
    </row>
    <row r="22" spans="1:10" x14ac:dyDescent="0.2">
      <c r="A22" s="192" t="s">
        <v>104</v>
      </c>
      <c r="B22" s="335" t="str">
        <f>IF(C22="","",$B$11&amp;"."&amp;COUNT($F$12:F22))</f>
        <v>1.1.8</v>
      </c>
      <c r="C22" s="192" t="s">
        <v>29</v>
      </c>
      <c r="D22" s="190" t="s">
        <v>4</v>
      </c>
      <c r="E22" s="870">
        <f>SUMIFS('2. DADOS DE ENTRADA'!C:C,'2. DADOS DE ENTRADA'!A:A,'8. TRANS. DISP. FINAL CC'!A22,'2. DADOS DE ENTRADA'!B:B,'8. TRANS. DISP. FINAL CC'!$C$11)</f>
        <v>26</v>
      </c>
      <c r="F22" s="858">
        <f>'3. PREÇOS UNITÁRIOS'!D27/E22</f>
        <v>12.594230769230769</v>
      </c>
      <c r="G22" s="858">
        <f>E22*F22</f>
        <v>327.45</v>
      </c>
      <c r="H22" s="872"/>
      <c r="I22" s="470"/>
      <c r="J22" s="471"/>
    </row>
    <row r="23" spans="1:10" x14ac:dyDescent="0.2">
      <c r="A23" s="192" t="s">
        <v>93</v>
      </c>
      <c r="B23" s="335" t="str">
        <f>IF(C23="","",$B$11&amp;"."&amp;COUNT($F$12:F23))</f>
        <v>1.1.9</v>
      </c>
      <c r="C23" s="192" t="s">
        <v>28</v>
      </c>
      <c r="D23" s="190" t="s">
        <v>25</v>
      </c>
      <c r="E23" s="870">
        <f>E20+E21</f>
        <v>0.21534999999999999</v>
      </c>
      <c r="F23" s="858">
        <f>'3. PREÇOS UNITÁRIOS'!D27</f>
        <v>327.45</v>
      </c>
      <c r="G23" s="858">
        <f>F23*E23</f>
        <v>70.516357499999998</v>
      </c>
      <c r="H23" s="871"/>
    </row>
    <row r="24" spans="1:10" x14ac:dyDescent="0.2">
      <c r="B24" s="335" t="str">
        <f>IF(C24="","",$B$11&amp;"."&amp;COUNT($F$12:F24))</f>
        <v>1.1.10</v>
      </c>
      <c r="C24" s="192" t="s">
        <v>638</v>
      </c>
      <c r="D24" s="190" t="s">
        <v>25</v>
      </c>
      <c r="E24" s="870">
        <f>E23</f>
        <v>0.21534999999999999</v>
      </c>
      <c r="F24" s="858">
        <f>'3. PREÇOS UNITÁRIOS'!D29</f>
        <v>40</v>
      </c>
      <c r="G24" s="858">
        <f>F24*E24</f>
        <v>8.613999999999999</v>
      </c>
      <c r="H24" s="871"/>
    </row>
    <row r="25" spans="1:10" ht="15" x14ac:dyDescent="0.25">
      <c r="A25" s="379"/>
      <c r="B25" s="528"/>
      <c r="C25" s="529"/>
      <c r="D25" s="529"/>
      <c r="E25" s="1073"/>
      <c r="F25" s="1074" t="s">
        <v>284</v>
      </c>
      <c r="G25" s="1075">
        <f>G20+G21+G23+G24</f>
        <v>1148.0596215046633</v>
      </c>
      <c r="H25" s="1076"/>
      <c r="I25" s="347"/>
    </row>
    <row r="26" spans="1:10" s="192" customFormat="1" ht="15" x14ac:dyDescent="0.25">
      <c r="B26" s="345"/>
      <c r="D26" s="190"/>
      <c r="E26" s="857"/>
      <c r="F26" s="877"/>
      <c r="G26" s="878"/>
      <c r="H26" s="871"/>
      <c r="I26" s="357"/>
    </row>
    <row r="27" spans="1:10" ht="15" x14ac:dyDescent="0.25">
      <c r="B27" s="497" t="s">
        <v>89</v>
      </c>
      <c r="C27" s="498" t="s">
        <v>30</v>
      </c>
      <c r="D27" s="499"/>
      <c r="E27" s="1088"/>
      <c r="F27" s="1088"/>
      <c r="G27" s="1088"/>
      <c r="H27" s="1089"/>
      <c r="I27" s="357"/>
    </row>
    <row r="28" spans="1:10" x14ac:dyDescent="0.2">
      <c r="A28" s="192" t="s">
        <v>96</v>
      </c>
      <c r="B28" s="335" t="str">
        <f>IF(C28="","",$B$27&amp;"."&amp;COUNT($F$28:F28))</f>
        <v>1.2.1</v>
      </c>
      <c r="C28" s="192" t="s">
        <v>20</v>
      </c>
      <c r="D28" s="190" t="s">
        <v>21</v>
      </c>
      <c r="E28" s="857">
        <f>SUMIFS('2. DADOS DE ENTRADA'!C:C,'2. DADOS DE ENTRADA'!A:A,'8. TRANS. DISP. FINAL CC'!A28,'2. DADOS DE ENTRADA'!B:B,'8. TRANS. DISP. FINAL CC'!$C$27)</f>
        <v>133</v>
      </c>
      <c r="F28" s="858">
        <f>'3. PREÇOS UNITÁRIOS'!D23/'8. TRANS. DISP. FINAL CC'!E28</f>
        <v>12.233185714285714</v>
      </c>
      <c r="G28" s="858">
        <f>E28*F28</f>
        <v>1627.0137</v>
      </c>
      <c r="H28" s="859"/>
      <c r="I28" s="357"/>
    </row>
    <row r="29" spans="1:10" x14ac:dyDescent="0.2">
      <c r="A29" s="192" t="s">
        <v>88</v>
      </c>
      <c r="B29" s="335" t="str">
        <f>IF(C29="","",$B$27&amp;"."&amp;COUNT($F$28:F29))</f>
        <v>1.2.2</v>
      </c>
      <c r="C29" s="192" t="s">
        <v>22</v>
      </c>
      <c r="D29" s="190" t="s">
        <v>1</v>
      </c>
      <c r="E29" s="860">
        <f>SUMIFS('2. DADOS DE ENTRADA'!C:C,'2. DADOS DE ENTRADA'!A:A,'8. TRANS. DISP. FINAL CC'!A29,'2. DADOS DE ENTRADA'!B:B,'8. TRANS. DISP. FINAL CC'!$C$27)</f>
        <v>0.4</v>
      </c>
      <c r="F29" s="858">
        <f>'3. PREÇOS UNITÁRIOS'!D21</f>
        <v>1412</v>
      </c>
      <c r="G29" s="858">
        <f>E29*F29</f>
        <v>564.80000000000007</v>
      </c>
      <c r="H29" s="859"/>
      <c r="I29" s="472"/>
      <c r="J29" s="473"/>
    </row>
    <row r="30" spans="1:10" ht="15" x14ac:dyDescent="0.25">
      <c r="B30" s="335"/>
      <c r="D30" s="190"/>
      <c r="E30" s="860"/>
      <c r="F30" s="858"/>
      <c r="G30" s="861">
        <f>SUM(G28:G29)</f>
        <v>2191.8137000000002</v>
      </c>
      <c r="H30" s="859"/>
      <c r="I30" s="472"/>
      <c r="J30" s="473"/>
    </row>
    <row r="31" spans="1:10" s="192" customFormat="1" ht="15" x14ac:dyDescent="0.25">
      <c r="A31" s="192" t="s">
        <v>109</v>
      </c>
      <c r="B31" s="335" t="str">
        <f>IF(C31="","",$B$27&amp;"."&amp;COUNT($F$28:F31))</f>
        <v>1.2.3</v>
      </c>
      <c r="C31" s="192" t="s">
        <v>254</v>
      </c>
      <c r="D31" s="190" t="s">
        <v>21</v>
      </c>
      <c r="E31" s="857">
        <f>SUMIFS('2. DADOS DE ENTRADA'!D:D,'2. DADOS DE ENTRADA'!A:A,'8. TRANS. DISP. FINAL CC'!A31,'2. DADOS DE ENTRADA'!B:B,'8. TRANS. DISP. FINAL CC'!C27)</f>
        <v>0</v>
      </c>
      <c r="F31" s="858">
        <f>(G30/E28)*1.5</f>
        <v>24.719703383458651</v>
      </c>
      <c r="G31" s="858">
        <f>(E31)*F31</f>
        <v>0</v>
      </c>
      <c r="H31" s="1079"/>
      <c r="I31" s="357"/>
    </row>
    <row r="32" spans="1:10" s="192" customFormat="1" ht="15" x14ac:dyDescent="0.25">
      <c r="A32" s="192" t="s">
        <v>95</v>
      </c>
      <c r="B32" s="335" t="str">
        <f>IF(C32="","",$B$27&amp;"."&amp;COUNT($F$28:F32))</f>
        <v>1.2.4</v>
      </c>
      <c r="C32" s="192" t="s">
        <v>255</v>
      </c>
      <c r="D32" s="190" t="s">
        <v>21</v>
      </c>
      <c r="E32" s="857">
        <f>SUMIFS('2. DADOS DE ENTRADA'!D:D,'2. DADOS DE ENTRADA'!A:A,'8. TRANS. DISP. FINAL CC'!A32,'2. DADOS DE ENTRADA'!B:B,'8. TRANS. DISP. FINAL CC'!C27)</f>
        <v>0</v>
      </c>
      <c r="F32" s="858">
        <f>(G30/F28)*2</f>
        <v>358.33898890955868</v>
      </c>
      <c r="G32" s="858">
        <f>(E32)*F32</f>
        <v>0</v>
      </c>
      <c r="H32" s="1079"/>
      <c r="I32" s="357"/>
    </row>
    <row r="33" spans="1:9" s="192" customFormat="1" ht="15" x14ac:dyDescent="0.25">
      <c r="A33" s="379"/>
      <c r="B33" s="523" t="str">
        <f>IF(C33="","",$B$27&amp;"."&amp;COUNT($F$28:F33))</f>
        <v/>
      </c>
      <c r="C33" s="524"/>
      <c r="D33" s="524"/>
      <c r="E33" s="1069"/>
      <c r="F33" s="1070" t="s">
        <v>352</v>
      </c>
      <c r="G33" s="1071">
        <f>G30+G31+G32</f>
        <v>2191.8137000000002</v>
      </c>
      <c r="H33" s="1072"/>
      <c r="I33" s="357"/>
    </row>
    <row r="34" spans="1:9" x14ac:dyDescent="0.2">
      <c r="A34" s="192" t="s">
        <v>273</v>
      </c>
      <c r="B34" s="335" t="str">
        <f>IF(C34="","",$B$27&amp;"."&amp;COUNT($F$28:F34))</f>
        <v>1.2.5</v>
      </c>
      <c r="C34" s="192" t="s">
        <v>23</v>
      </c>
      <c r="D34" s="190" t="s">
        <v>1</v>
      </c>
      <c r="E34" s="869">
        <f>SUMIFS('2. DADOS DE ENTRADA'!C:C,'2. DADOS DE ENTRADA'!A:A,'8. TRANS. DISP. FINAL CC'!A34,'2. DADOS DE ENTRADA'!B:B,'8. TRANS. DISP. FINAL CC'!$C$27)</f>
        <v>0.71101040000000004</v>
      </c>
      <c r="F34" s="858">
        <f>G33</f>
        <v>2191.8137000000002</v>
      </c>
      <c r="G34" s="858">
        <f>(E34)*F34</f>
        <v>1558.4023355624802</v>
      </c>
      <c r="H34" s="859"/>
      <c r="I34" s="357"/>
    </row>
    <row r="35" spans="1:9" ht="15" x14ac:dyDescent="0.25">
      <c r="A35" s="379"/>
      <c r="B35" s="523" t="str">
        <f>IF(C35="","",$B$27&amp;"."&amp;COUNT($F$28:F35))</f>
        <v/>
      </c>
      <c r="C35" s="524"/>
      <c r="D35" s="524"/>
      <c r="E35" s="1069"/>
      <c r="F35" s="1070" t="s">
        <v>353</v>
      </c>
      <c r="G35" s="1071">
        <f>G33+G34</f>
        <v>3750.2160355624801</v>
      </c>
      <c r="H35" s="1072"/>
      <c r="I35" s="357"/>
    </row>
    <row r="36" spans="1:9" x14ac:dyDescent="0.2">
      <c r="A36" s="192" t="s">
        <v>93</v>
      </c>
      <c r="B36" s="335" t="str">
        <f>IF(C36="","",$B$27&amp;"."&amp;COUNT($F$28:F36))</f>
        <v>1.2.6</v>
      </c>
      <c r="C36" s="192" t="s">
        <v>31</v>
      </c>
      <c r="D36" s="190" t="s">
        <v>25</v>
      </c>
      <c r="E36" s="870">
        <f>SUMIFS('2. DADOS DE ENTRADA'!Y:Y,'2. DADOS DE ENTRADA'!A:A,'8. TRANS. DISP. FINAL CC'!A36,'2. DADOS DE ENTRADA'!B:B,'8. TRANS. DISP. FINAL CC'!$C$27)+SUMIFS('2. DADOS DE ENTRADA'!Z:Z,'2. DADOS DE ENTRADA'!A:A,'8. TRANS. DISP. FINAL CC'!A36,'2. DADOS DE ENTRADA'!B:B,'8. TRANS. DISP. FINAL CC'!$C$27)</f>
        <v>0</v>
      </c>
      <c r="F36" s="858">
        <f>G35</f>
        <v>3750.2160355624801</v>
      </c>
      <c r="G36" s="858">
        <f>E36*F36</f>
        <v>0</v>
      </c>
      <c r="H36" s="859"/>
      <c r="I36" s="357"/>
    </row>
    <row r="37" spans="1:9" x14ac:dyDescent="0.2">
      <c r="A37" s="192" t="s">
        <v>93</v>
      </c>
      <c r="B37" s="335" t="str">
        <f>IF(C37="","",$B$27&amp;"."&amp;COUNT($F$28:F37))</f>
        <v>1.2.7</v>
      </c>
      <c r="C37" s="189" t="s">
        <v>26</v>
      </c>
      <c r="D37" s="193" t="s">
        <v>25</v>
      </c>
      <c r="E37" s="870">
        <f>SUMIFS('2. DADOS DE ENTRADA'!AB:AB,'2. DADOS DE ENTRADA'!A:A,'8. TRANS. DISP. FINAL CC'!A37,'2. DADOS DE ENTRADA'!B:B,'8. TRANS. DISP. FINAL CC'!$C$27)</f>
        <v>0</v>
      </c>
      <c r="F37" s="858">
        <f>G35</f>
        <v>3750.2160355624801</v>
      </c>
      <c r="G37" s="858">
        <f>E37*F37</f>
        <v>0</v>
      </c>
      <c r="H37" s="871"/>
    </row>
    <row r="38" spans="1:9" x14ac:dyDescent="0.2">
      <c r="A38" s="192" t="s">
        <v>104</v>
      </c>
      <c r="B38" s="335" t="str">
        <f>IF(C38="","",$B$27&amp;"."&amp;COUNT($F$28:F38))</f>
        <v>1.2.8</v>
      </c>
      <c r="C38" s="192" t="s">
        <v>29</v>
      </c>
      <c r="D38" s="190" t="s">
        <v>4</v>
      </c>
      <c r="E38" s="870">
        <f>SUMIFS('2. DADOS DE ENTRADA'!C:C,'2. DADOS DE ENTRADA'!A:A,'8. TRANS. DISP. FINAL CC'!A38,'2. DADOS DE ENTRADA'!B:B,'8. TRANS. DISP. FINAL CC'!$C$27)</f>
        <v>26</v>
      </c>
      <c r="F38" s="858">
        <f>'3. PREÇOS UNITÁRIOS'!D27/E38</f>
        <v>12.594230769230769</v>
      </c>
      <c r="G38" s="858">
        <f>E38*F38</f>
        <v>327.45</v>
      </c>
      <c r="H38" s="871"/>
      <c r="I38" s="470"/>
    </row>
    <row r="39" spans="1:9" x14ac:dyDescent="0.2">
      <c r="A39" s="192" t="s">
        <v>93</v>
      </c>
      <c r="B39" s="335" t="str">
        <f>IF(C39="","",$B$27&amp;"."&amp;COUNT($F$28:F39))</f>
        <v>1.2.9</v>
      </c>
      <c r="C39" s="192" t="s">
        <v>32</v>
      </c>
      <c r="D39" s="190" t="s">
        <v>25</v>
      </c>
      <c r="E39" s="870">
        <f>E36+E37</f>
        <v>0</v>
      </c>
      <c r="F39" s="858">
        <f>'3. PREÇOS UNITÁRIOS'!D27</f>
        <v>327.45</v>
      </c>
      <c r="G39" s="858">
        <f>F39*E39</f>
        <v>0</v>
      </c>
      <c r="H39" s="871"/>
    </row>
    <row r="40" spans="1:9" x14ac:dyDescent="0.2">
      <c r="B40" s="335" t="str">
        <f>IF(C40="","",$B$27&amp;"."&amp;COUNT($F$28:F40))</f>
        <v>1.2.10</v>
      </c>
      <c r="C40" s="192" t="s">
        <v>638</v>
      </c>
      <c r="D40" s="190" t="s">
        <v>25</v>
      </c>
      <c r="E40" s="870">
        <f>E39</f>
        <v>0</v>
      </c>
      <c r="F40" s="858">
        <f>'3. PREÇOS UNITÁRIOS'!D29</f>
        <v>40</v>
      </c>
      <c r="G40" s="858">
        <f>F40*E40</f>
        <v>0</v>
      </c>
      <c r="H40" s="871"/>
    </row>
    <row r="41" spans="1:9" ht="15" x14ac:dyDescent="0.25">
      <c r="A41" s="379"/>
      <c r="B41" s="528" t="str">
        <f>IF(C41="","",$B$27&amp;"."&amp;COUNT($F$28:F41))</f>
        <v/>
      </c>
      <c r="C41" s="529"/>
      <c r="D41" s="529"/>
      <c r="E41" s="1073"/>
      <c r="F41" s="1074" t="s">
        <v>285</v>
      </c>
      <c r="G41" s="1075">
        <f>G36+G37+G39+G40</f>
        <v>0</v>
      </c>
      <c r="H41" s="1076"/>
      <c r="I41" s="357"/>
    </row>
    <row r="42" spans="1:9" ht="15" x14ac:dyDescent="0.25">
      <c r="B42" s="335"/>
      <c r="C42" s="189"/>
      <c r="D42" s="193"/>
      <c r="E42" s="862"/>
      <c r="F42" s="882"/>
      <c r="G42" s="883"/>
      <c r="H42" s="884"/>
      <c r="I42" s="403"/>
    </row>
    <row r="43" spans="1:9" ht="15" x14ac:dyDescent="0.2">
      <c r="B43" s="489"/>
      <c r="C43" s="490"/>
      <c r="D43" s="490"/>
      <c r="E43" s="1081" t="s">
        <v>34</v>
      </c>
      <c r="F43" s="1081"/>
      <c r="G43" s="1082">
        <f>G41+G25</f>
        <v>1148.0596215046633</v>
      </c>
      <c r="H43" s="1083"/>
      <c r="I43" s="357"/>
    </row>
    <row r="44" spans="1:9" x14ac:dyDescent="0.2">
      <c r="B44" s="335"/>
      <c r="D44" s="190"/>
      <c r="E44" s="857"/>
      <c r="F44" s="901"/>
      <c r="G44" s="901"/>
      <c r="H44" s="859"/>
      <c r="I44" s="357"/>
    </row>
    <row r="45" spans="1:9" ht="15" x14ac:dyDescent="0.2">
      <c r="B45" s="493" t="s">
        <v>5</v>
      </c>
      <c r="C45" s="494" t="s">
        <v>72</v>
      </c>
      <c r="D45" s="495"/>
      <c r="E45" s="1086"/>
      <c r="F45" s="1086"/>
      <c r="G45" s="1086"/>
      <c r="H45" s="1087"/>
      <c r="I45" s="357"/>
    </row>
    <row r="46" spans="1:9" ht="15" x14ac:dyDescent="0.2">
      <c r="B46" s="322"/>
      <c r="C46" s="323"/>
      <c r="D46" s="154"/>
      <c r="E46" s="1012"/>
      <c r="F46" s="1012"/>
      <c r="G46" s="1012"/>
      <c r="H46" s="1013"/>
      <c r="I46" s="357"/>
    </row>
    <row r="47" spans="1:9" ht="15" x14ac:dyDescent="0.2">
      <c r="B47" s="420" t="s">
        <v>7</v>
      </c>
      <c r="C47" s="422" t="s">
        <v>8</v>
      </c>
      <c r="D47" s="422" t="s">
        <v>9</v>
      </c>
      <c r="E47" s="1041" t="s">
        <v>10</v>
      </c>
      <c r="F47" s="1041" t="s">
        <v>11</v>
      </c>
      <c r="G47" s="1041" t="s">
        <v>12</v>
      </c>
      <c r="H47" s="1042"/>
      <c r="I47" s="190"/>
    </row>
    <row r="48" spans="1:9" ht="15" x14ac:dyDescent="0.25">
      <c r="B48" s="497" t="s">
        <v>91</v>
      </c>
      <c r="C48" s="498" t="s">
        <v>281</v>
      </c>
      <c r="D48" s="499"/>
      <c r="E48" s="1088"/>
      <c r="F48" s="1088"/>
      <c r="G48" s="1088"/>
      <c r="H48" s="1089"/>
      <c r="I48" s="357"/>
    </row>
    <row r="49" spans="1:10" x14ac:dyDescent="0.2">
      <c r="A49" s="192" t="s">
        <v>92</v>
      </c>
      <c r="B49" s="335" t="str">
        <f>IF(C49="","",$B$48&amp;"."&amp;COUNT($F$49:F49))</f>
        <v>2.1.0</v>
      </c>
      <c r="C49" s="189" t="s">
        <v>87</v>
      </c>
      <c r="D49" s="193" t="s">
        <v>25</v>
      </c>
      <c r="E49" s="862">
        <f>SUMIFS('2. DADOS DE ENTRADA'!G:G,'2. DADOS DE ENTRADA'!A:A,'8. TRANS. DISP. FINAL CC'!A49,'2. DADOS DE ENTRADA'!B:B,'8. TRANS. DISP. FINAL CC'!C48)</f>
        <v>0</v>
      </c>
      <c r="F49" s="994"/>
      <c r="G49" s="994"/>
      <c r="H49" s="904"/>
      <c r="I49" s="403"/>
    </row>
    <row r="50" spans="1:10" x14ac:dyDescent="0.2">
      <c r="A50" s="192" t="s">
        <v>96</v>
      </c>
      <c r="B50" s="335" t="str">
        <f>IF(C50="","",$B$48&amp;"."&amp;COUNT($F$49:F50))</f>
        <v>2.1.1</v>
      </c>
      <c r="C50" s="189" t="s">
        <v>20</v>
      </c>
      <c r="D50" s="193" t="s">
        <v>21</v>
      </c>
      <c r="E50" s="862">
        <f>SUMIFS('2. DADOS DE ENTRADA'!C:C,'2. DADOS DE ENTRADA'!A:A,'8. TRANS. DISP. FINAL CC'!A50,'2. DADOS DE ENTRADA'!B:B,'8. TRANS. DISP. FINAL CC'!$C$48)</f>
        <v>120</v>
      </c>
      <c r="F50" s="858">
        <f>'3. PREÇOS UNITÁRIOS'!D24/'8. TRANS. DISP. FINAL CC'!E50</f>
        <v>13.5584475</v>
      </c>
      <c r="G50" s="858">
        <f t="shared" ref="G50:G55" si="0">E50*F50</f>
        <v>1627.0137</v>
      </c>
      <c r="H50" s="904"/>
      <c r="I50" s="403"/>
    </row>
    <row r="51" spans="1:10" x14ac:dyDescent="0.2">
      <c r="A51" s="192" t="s">
        <v>275</v>
      </c>
      <c r="B51" s="335" t="str">
        <f>IF(C51="","",$B$48&amp;"."&amp;COUNT($F$49:F51))</f>
        <v>2.1.2</v>
      </c>
      <c r="C51" s="189" t="s">
        <v>33</v>
      </c>
      <c r="D51" s="193" t="s">
        <v>1</v>
      </c>
      <c r="E51" s="1090">
        <f>SUMIFS('2. DADOS DE ENTRADA'!C:C,'2. DADOS DE ENTRADA'!A:A,'8. TRANS. DISP. FINAL CC'!A51,'2. DADOS DE ENTRADA'!B:B,'8. TRANS. DISP. FINAL CC'!$C$48)</f>
        <v>0</v>
      </c>
      <c r="F51" s="858">
        <f>G50</f>
        <v>1627.0137</v>
      </c>
      <c r="G51" s="858">
        <f t="shared" si="0"/>
        <v>0</v>
      </c>
      <c r="H51" s="904"/>
      <c r="I51" s="403"/>
    </row>
    <row r="52" spans="1:10" x14ac:dyDescent="0.2">
      <c r="A52" s="192" t="s">
        <v>88</v>
      </c>
      <c r="B52" s="335" t="str">
        <f>IF(C52="","",$B$48&amp;"."&amp;COUNT($F$49:F52))</f>
        <v>2.1.3</v>
      </c>
      <c r="C52" s="189" t="s">
        <v>22</v>
      </c>
      <c r="D52" s="193" t="s">
        <v>1</v>
      </c>
      <c r="E52" s="1090">
        <f>SUMIFS('2. DADOS DE ENTRADA'!C:C,'2. DADOS DE ENTRADA'!A:A,'8. TRANS. DISP. FINAL CC'!A52,'2. DADOS DE ENTRADA'!B:B,'8. TRANS. DISP. FINAL CC'!$C$48)</f>
        <v>0.4</v>
      </c>
      <c r="F52" s="858">
        <f>'3. PREÇOS UNITÁRIOS'!D21</f>
        <v>1412</v>
      </c>
      <c r="G52" s="858">
        <f t="shared" si="0"/>
        <v>564.80000000000007</v>
      </c>
      <c r="H52" s="904"/>
      <c r="I52" s="403"/>
      <c r="J52" s="224"/>
    </row>
    <row r="53" spans="1:10" ht="15" x14ac:dyDescent="0.25">
      <c r="B53" s="335"/>
      <c r="C53" s="189"/>
      <c r="D53" s="193"/>
      <c r="E53" s="1090"/>
      <c r="F53" s="858"/>
      <c r="G53" s="861">
        <f>SUM(G50:G52)</f>
        <v>2191.8137000000002</v>
      </c>
      <c r="H53" s="904"/>
      <c r="I53" s="403"/>
      <c r="J53" s="224"/>
    </row>
    <row r="54" spans="1:10" x14ac:dyDescent="0.2">
      <c r="A54" s="192" t="s">
        <v>109</v>
      </c>
      <c r="B54" s="335" t="str">
        <f>IF(C54="","",$B$48&amp;"."&amp;COUNT($F$49:F54))</f>
        <v>2.1.4</v>
      </c>
      <c r="C54" s="189" t="s">
        <v>254</v>
      </c>
      <c r="D54" s="193" t="s">
        <v>35</v>
      </c>
      <c r="E54" s="862">
        <f>SUMIFS('2. DADOS DE ENTRADA'!D:D,'2. DADOS DE ENTRADA'!A:A,'8. TRANS. DISP. FINAL CC'!A54,'2. DADOS DE ENTRADA'!B:B,'8. TRANS. DISP. FINAL CC'!C48)</f>
        <v>0</v>
      </c>
      <c r="F54" s="858">
        <f>(G53/E50)*1.5</f>
        <v>27.397671250000002</v>
      </c>
      <c r="G54" s="858">
        <f t="shared" si="0"/>
        <v>0</v>
      </c>
      <c r="H54" s="884"/>
      <c r="I54" s="189"/>
    </row>
    <row r="55" spans="1:10" x14ac:dyDescent="0.2">
      <c r="A55" s="204" t="s">
        <v>95</v>
      </c>
      <c r="B55" s="335" t="str">
        <f>IF(C55="","",$B$48&amp;"."&amp;COUNT($F$49:F55))</f>
        <v>2.1.5</v>
      </c>
      <c r="C55" s="189" t="s">
        <v>255</v>
      </c>
      <c r="D55" s="193" t="s">
        <v>35</v>
      </c>
      <c r="E55" s="862">
        <f>SUMIFS('2. DADOS DE ENTRADA'!D:D,'2. DADOS DE ENTRADA'!A:A,'8. TRANS. DISP. FINAL CC'!A55,'2. DADOS DE ENTRADA'!B:B,'8. TRANS. DISP. FINAL CC'!C48)</f>
        <v>0</v>
      </c>
      <c r="F55" s="858">
        <f>(G53/E50)*2</f>
        <v>36.530228333333334</v>
      </c>
      <c r="G55" s="858">
        <f t="shared" si="0"/>
        <v>0</v>
      </c>
      <c r="H55" s="884"/>
      <c r="I55" s="189"/>
    </row>
    <row r="56" spans="1:10" ht="15" x14ac:dyDescent="0.25">
      <c r="A56" s="379"/>
      <c r="B56" s="523" t="str">
        <f>IF(C56="","",$B$48&amp;"."&amp;COUNT($F$49:F56))</f>
        <v/>
      </c>
      <c r="C56" s="524"/>
      <c r="D56" s="524"/>
      <c r="E56" s="1069"/>
      <c r="F56" s="1070" t="s">
        <v>352</v>
      </c>
      <c r="G56" s="1071">
        <f>G53+G54+G55</f>
        <v>2191.8137000000002</v>
      </c>
      <c r="H56" s="1072"/>
      <c r="I56" s="189"/>
    </row>
    <row r="57" spans="1:10" x14ac:dyDescent="0.2">
      <c r="A57" s="192" t="s">
        <v>273</v>
      </c>
      <c r="B57" s="335" t="str">
        <f>IF(C57="","",$B$48&amp;"."&amp;COUNT($F$49:F57))</f>
        <v>2.1.6</v>
      </c>
      <c r="C57" s="189" t="s">
        <v>23</v>
      </c>
      <c r="D57" s="193" t="s">
        <v>1</v>
      </c>
      <c r="E57" s="903">
        <f>SUMIFS('2. DADOS DE ENTRADA'!C:C,'2. DADOS DE ENTRADA'!A:A,'8. TRANS. DISP. FINAL CC'!A57,'2. DADOS DE ENTRADA'!B:B,'8. TRANS. DISP. FINAL CC'!$C$48)</f>
        <v>0.71101040000000004</v>
      </c>
      <c r="F57" s="863">
        <f>G56</f>
        <v>2191.8137000000002</v>
      </c>
      <c r="G57" s="863">
        <f>(E57)*F57</f>
        <v>1558.4023355624802</v>
      </c>
      <c r="H57" s="904"/>
      <c r="I57" s="403"/>
    </row>
    <row r="58" spans="1:10" ht="15" x14ac:dyDescent="0.25">
      <c r="A58" s="379"/>
      <c r="B58" s="523" t="str">
        <f>IF(C58="","",$B$48&amp;"."&amp;COUNT($F$49:F58))</f>
        <v/>
      </c>
      <c r="C58" s="524"/>
      <c r="D58" s="524"/>
      <c r="E58" s="1069"/>
      <c r="F58" s="1070" t="s">
        <v>352</v>
      </c>
      <c r="G58" s="1071">
        <f>G57+G56</f>
        <v>3750.2160355624801</v>
      </c>
      <c r="H58" s="1072"/>
      <c r="I58" s="357"/>
    </row>
    <row r="59" spans="1:10" s="192" customFormat="1" ht="28.5" x14ac:dyDescent="0.2">
      <c r="A59" s="379" t="s">
        <v>92</v>
      </c>
      <c r="B59" s="335" t="str">
        <f>IF(C59="","",$B$48&amp;"."&amp;COUNT($F$49:F59))</f>
        <v>2.1.7</v>
      </c>
      <c r="C59" s="189" t="s">
        <v>396</v>
      </c>
      <c r="D59" s="193" t="s">
        <v>25</v>
      </c>
      <c r="E59" s="862">
        <f>E49</f>
        <v>0</v>
      </c>
      <c r="F59" s="1091">
        <f>G58</f>
        <v>3750.2160355624801</v>
      </c>
      <c r="G59" s="858">
        <f>F59*E59</f>
        <v>0</v>
      </c>
      <c r="H59" s="905"/>
      <c r="I59" s="357"/>
    </row>
    <row r="60" spans="1:10" x14ac:dyDescent="0.2">
      <c r="A60" s="192" t="s">
        <v>104</v>
      </c>
      <c r="B60" s="335" t="str">
        <f>IF(C60="","",$B$48&amp;"."&amp;COUNT($F$49:F60))</f>
        <v>2.1.8</v>
      </c>
      <c r="C60" s="192" t="s">
        <v>29</v>
      </c>
      <c r="D60" s="190" t="s">
        <v>4</v>
      </c>
      <c r="E60" s="870">
        <f>SUMIFS('2. DADOS DE ENTRADA'!C:C,'2. DADOS DE ENTRADA'!A:A,'8. TRANS. DISP. FINAL CC'!A60,'2. DADOS DE ENTRADA'!B:B,'8. TRANS. DISP. FINAL CC'!$C$48)</f>
        <v>26</v>
      </c>
      <c r="F60" s="858">
        <f>'3. PREÇOS UNITÁRIOS'!D27/'8. TRANS. DISP. FINAL CC'!E60</f>
        <v>12.594230769230769</v>
      </c>
      <c r="G60" s="858">
        <f>E60*F60</f>
        <v>327.45</v>
      </c>
      <c r="H60" s="871"/>
      <c r="I60" s="357"/>
    </row>
    <row r="61" spans="1:10" x14ac:dyDescent="0.2">
      <c r="B61" s="335" t="str">
        <f>IF(C61="","",$B$48&amp;"."&amp;COUNT($F$49:F61))</f>
        <v>2.1.9</v>
      </c>
      <c r="C61" s="192" t="s">
        <v>395</v>
      </c>
      <c r="D61" s="190" t="s">
        <v>25</v>
      </c>
      <c r="E61" s="870">
        <f>E49</f>
        <v>0</v>
      </c>
      <c r="F61" s="858">
        <f>G60</f>
        <v>327.45</v>
      </c>
      <c r="G61" s="858">
        <f>E61*F61</f>
        <v>0</v>
      </c>
      <c r="H61" s="871"/>
      <c r="I61" s="357"/>
    </row>
    <row r="62" spans="1:10" x14ac:dyDescent="0.2">
      <c r="B62" s="335" t="str">
        <f>IF(C62="","",$B$48&amp;"."&amp;COUNT($F$49:F62))</f>
        <v>2.1.10</v>
      </c>
      <c r="C62" s="192" t="s">
        <v>638</v>
      </c>
      <c r="D62" s="190" t="s">
        <v>25</v>
      </c>
      <c r="E62" s="870">
        <f>E61</f>
        <v>0</v>
      </c>
      <c r="F62" s="858">
        <f>'3. PREÇOS UNITÁRIOS'!D29</f>
        <v>40</v>
      </c>
      <c r="G62" s="858">
        <f>F62*E62</f>
        <v>0</v>
      </c>
      <c r="H62" s="871"/>
      <c r="I62" s="357"/>
    </row>
    <row r="63" spans="1:10" ht="15" x14ac:dyDescent="0.25">
      <c r="A63" s="379"/>
      <c r="B63" s="528" t="str">
        <f>IF(C63="","",$B$48&amp;"."&amp;COUNT($F$50:F64))</f>
        <v/>
      </c>
      <c r="C63" s="537"/>
      <c r="D63" s="537"/>
      <c r="E63" s="1092"/>
      <c r="F63" s="1074" t="s">
        <v>286</v>
      </c>
      <c r="G63" s="1075">
        <f>G59+G61+G62</f>
        <v>0</v>
      </c>
      <c r="H63" s="1093"/>
      <c r="I63" s="357"/>
    </row>
    <row r="64" spans="1:10" x14ac:dyDescent="0.2">
      <c r="B64" s="335"/>
      <c r="D64" s="190"/>
      <c r="E64" s="857"/>
      <c r="F64" s="901"/>
      <c r="G64" s="901"/>
      <c r="H64" s="859"/>
      <c r="I64" s="357"/>
    </row>
    <row r="65" spans="1:9" ht="15" x14ac:dyDescent="0.25">
      <c r="B65" s="497" t="s">
        <v>93</v>
      </c>
      <c r="C65" s="498" t="s">
        <v>261</v>
      </c>
      <c r="D65" s="499"/>
      <c r="E65" s="1088"/>
      <c r="F65" s="1088"/>
      <c r="G65" s="1088"/>
      <c r="H65" s="1089"/>
      <c r="I65" s="357"/>
    </row>
    <row r="66" spans="1:9" x14ac:dyDescent="0.2">
      <c r="A66" s="192" t="s">
        <v>92</v>
      </c>
      <c r="B66" s="335" t="str">
        <f>IF(C66="","",$B$65&amp;"."&amp;COUNT($F$66:F66))</f>
        <v>2.2.0</v>
      </c>
      <c r="C66" s="192" t="s">
        <v>261</v>
      </c>
      <c r="D66" s="190" t="s">
        <v>25</v>
      </c>
      <c r="E66" s="857">
        <f>SUMIFS('2. DADOS DE ENTRADA'!G:G,'2. DADOS DE ENTRADA'!A:A,'8. TRANS. DISP. FINAL CC'!A66,'2. DADOS DE ENTRADA'!B:B,'8. TRANS. DISP. FINAL CC'!C65)</f>
        <v>0.1</v>
      </c>
      <c r="F66" s="901"/>
      <c r="G66" s="901"/>
      <c r="H66" s="859"/>
      <c r="I66" s="357"/>
    </row>
    <row r="67" spans="1:9" x14ac:dyDescent="0.2">
      <c r="A67" s="192" t="s">
        <v>96</v>
      </c>
      <c r="B67" s="335" t="str">
        <f>IF(C67="","",$B$65&amp;"."&amp;COUNT($F$66:F67))</f>
        <v>2.2.1</v>
      </c>
      <c r="C67" s="192" t="s">
        <v>20</v>
      </c>
      <c r="D67" s="190" t="s">
        <v>21</v>
      </c>
      <c r="E67" s="857">
        <f>SUMIFS('2. DADOS DE ENTRADA'!C:C,'2. DADOS DE ENTRADA'!A:A,'8. TRANS. DISP. FINAL CC'!A67,'2. DADOS DE ENTRADA'!B:B,'8. TRANS. DISP. FINAL CC'!$C$65)</f>
        <v>120</v>
      </c>
      <c r="F67" s="858">
        <f>'3. PREÇOS UNITÁRIOS'!D25/'8. TRANS. DISP. FINAL CC'!E67</f>
        <v>13.5584475</v>
      </c>
      <c r="G67" s="858">
        <f t="shared" ref="G67:G72" si="1">E67*F67</f>
        <v>1627.0137</v>
      </c>
      <c r="H67" s="859"/>
      <c r="I67" s="357"/>
    </row>
    <row r="68" spans="1:9" x14ac:dyDescent="0.2">
      <c r="A68" s="192" t="s">
        <v>275</v>
      </c>
      <c r="B68" s="335" t="str">
        <f>IF(C68="","",$B$65&amp;"."&amp;COUNT($F$66:F68))</f>
        <v>2.2.2</v>
      </c>
      <c r="C68" s="192" t="s">
        <v>33</v>
      </c>
      <c r="D68" s="190" t="s">
        <v>1</v>
      </c>
      <c r="E68" s="902">
        <f>SUMIFS('2. DADOS DE ENTRADA'!C:C,'2. DADOS DE ENTRADA'!A:A,'8. TRANS. DISP. FINAL CC'!A68,'2. DADOS DE ENTRADA'!B:B,'8. TRANS. DISP. FINAL CC'!$C$65)</f>
        <v>0</v>
      </c>
      <c r="F68" s="858">
        <f>G67</f>
        <v>1627.0137</v>
      </c>
      <c r="G68" s="858">
        <f t="shared" si="1"/>
        <v>0</v>
      </c>
      <c r="H68" s="859"/>
      <c r="I68" s="357"/>
    </row>
    <row r="69" spans="1:9" x14ac:dyDescent="0.2">
      <c r="A69" s="192" t="s">
        <v>88</v>
      </c>
      <c r="B69" s="335" t="str">
        <f>IF(C69="","",$B$65&amp;"."&amp;COUNT($F$66:F69))</f>
        <v>2.2.3</v>
      </c>
      <c r="C69" s="192" t="s">
        <v>22</v>
      </c>
      <c r="D69" s="190" t="s">
        <v>1</v>
      </c>
      <c r="E69" s="902">
        <f>SUMIFS('2. DADOS DE ENTRADA'!C:C,'2. DADOS DE ENTRADA'!A:A,'8. TRANS. DISP. FINAL CC'!A69,'2. DADOS DE ENTRADA'!B:B,'8. TRANS. DISP. FINAL CC'!$C$65)</f>
        <v>0.4</v>
      </c>
      <c r="F69" s="858">
        <f>'3. PREÇOS UNITÁRIOS'!D21</f>
        <v>1412</v>
      </c>
      <c r="G69" s="858">
        <f t="shared" si="1"/>
        <v>564.80000000000007</v>
      </c>
      <c r="H69" s="859"/>
      <c r="I69" s="357"/>
    </row>
    <row r="70" spans="1:9" ht="15" x14ac:dyDescent="0.25">
      <c r="B70" s="335"/>
      <c r="D70" s="190"/>
      <c r="E70" s="902"/>
      <c r="F70" s="858"/>
      <c r="G70" s="861">
        <f>SUM(G67:G69)</f>
        <v>2191.8137000000002</v>
      </c>
      <c r="H70" s="859"/>
      <c r="I70" s="357"/>
    </row>
    <row r="71" spans="1:9" x14ac:dyDescent="0.2">
      <c r="A71" s="192" t="s">
        <v>109</v>
      </c>
      <c r="B71" s="335" t="str">
        <f>IF(C71="","",$B$65&amp;"."&amp;COUNT($F$66:F71))</f>
        <v>2.2.4</v>
      </c>
      <c r="C71" s="189" t="s">
        <v>254</v>
      </c>
      <c r="D71" s="193" t="s">
        <v>35</v>
      </c>
      <c r="E71" s="862">
        <f>SUMIFS('2. DADOS DE ENTRADA'!D:D,'2. DADOS DE ENTRADA'!A:A,'8. TRANS. DISP. FINAL CC'!A71,'2. DADOS DE ENTRADA'!B:B,'8. TRANS. DISP. FINAL CC'!C65)*E66</f>
        <v>0</v>
      </c>
      <c r="F71" s="858">
        <f>(G70/E67)*1.5</f>
        <v>27.397671250000002</v>
      </c>
      <c r="G71" s="858">
        <f t="shared" si="1"/>
        <v>0</v>
      </c>
      <c r="H71" s="884"/>
      <c r="I71" s="403"/>
    </row>
    <row r="72" spans="1:9" x14ac:dyDescent="0.2">
      <c r="A72" s="204" t="s">
        <v>95</v>
      </c>
      <c r="B72" s="335" t="str">
        <f>IF(C72="","",$B$65&amp;"."&amp;COUNT($F$66:F72))</f>
        <v>2.2.5</v>
      </c>
      <c r="C72" s="189" t="s">
        <v>255</v>
      </c>
      <c r="D72" s="193" t="s">
        <v>35</v>
      </c>
      <c r="E72" s="862">
        <f>SUMIFS('2. DADOS DE ENTRADA'!D:D,'2. DADOS DE ENTRADA'!A:A,'8. TRANS. DISP. FINAL CC'!A72,'2. DADOS DE ENTRADA'!B:B,'8. TRANS. DISP. FINAL CC'!C65)*E66</f>
        <v>0</v>
      </c>
      <c r="F72" s="858">
        <f>(G70/E67)*2</f>
        <v>36.530228333333334</v>
      </c>
      <c r="G72" s="858">
        <f t="shared" si="1"/>
        <v>0</v>
      </c>
      <c r="H72" s="884"/>
      <c r="I72" s="403"/>
    </row>
    <row r="73" spans="1:9" ht="15" x14ac:dyDescent="0.25">
      <c r="A73" s="379"/>
      <c r="B73" s="523" t="str">
        <f>IF(C73="","",$B$65&amp;"."&amp;COUNT($F$66:F73))</f>
        <v/>
      </c>
      <c r="C73" s="524"/>
      <c r="D73" s="524"/>
      <c r="E73" s="1069"/>
      <c r="F73" s="1070" t="s">
        <v>352</v>
      </c>
      <c r="G73" s="1071">
        <f>G70+G71+G72</f>
        <v>2191.8137000000002</v>
      </c>
      <c r="H73" s="1072"/>
      <c r="I73" s="403"/>
    </row>
    <row r="74" spans="1:9" x14ac:dyDescent="0.2">
      <c r="A74" s="192" t="s">
        <v>273</v>
      </c>
      <c r="B74" s="335" t="str">
        <f>IF(C74="","",$B$65&amp;"."&amp;COUNT($F$66:F74))</f>
        <v>2.2.6</v>
      </c>
      <c r="C74" s="189" t="s">
        <v>23</v>
      </c>
      <c r="D74" s="193" t="s">
        <v>1</v>
      </c>
      <c r="E74" s="903">
        <f>SUMIFS('2. DADOS DE ENTRADA'!C:C,'2. DADOS DE ENTRADA'!A:A,'8. TRANS. DISP. FINAL CC'!A74,'2. DADOS DE ENTRADA'!B:B,'8. TRANS. DISP. FINAL CC'!$C$65)</f>
        <v>0.71101040000000004</v>
      </c>
      <c r="F74" s="858">
        <f>G73</f>
        <v>2191.8137000000002</v>
      </c>
      <c r="G74" s="858">
        <f>(E74)*F74</f>
        <v>1558.4023355624802</v>
      </c>
      <c r="H74" s="904"/>
      <c r="I74" s="403"/>
    </row>
    <row r="75" spans="1:9" ht="15" x14ac:dyDescent="0.25">
      <c r="A75" s="379"/>
      <c r="B75" s="523" t="str">
        <f>IF(C75="","",$B$65&amp;"."&amp;COUNT($F$66:F75))</f>
        <v/>
      </c>
      <c r="C75" s="524"/>
      <c r="D75" s="524"/>
      <c r="E75" s="1069"/>
      <c r="F75" s="1070" t="s">
        <v>352</v>
      </c>
      <c r="G75" s="1071">
        <f>G73+G74</f>
        <v>3750.2160355624801</v>
      </c>
      <c r="H75" s="1072"/>
      <c r="I75" s="357"/>
    </row>
    <row r="76" spans="1:9" s="192" customFormat="1" x14ac:dyDescent="0.2">
      <c r="A76" s="379"/>
      <c r="B76" s="335" t="str">
        <f>IF(C76="","",$B$65&amp;"."&amp;COUNT($F$66:F76))</f>
        <v>2.2.7</v>
      </c>
      <c r="C76" s="189" t="s">
        <v>397</v>
      </c>
      <c r="D76" s="193" t="s">
        <v>25</v>
      </c>
      <c r="E76" s="1094">
        <f>E66</f>
        <v>0.1</v>
      </c>
      <c r="F76" s="858">
        <f>G75</f>
        <v>3750.2160355624801</v>
      </c>
      <c r="G76" s="858">
        <f>F76*E76</f>
        <v>375.02160355624801</v>
      </c>
      <c r="H76" s="905"/>
      <c r="I76" s="357"/>
    </row>
    <row r="77" spans="1:9" s="192" customFormat="1" x14ac:dyDescent="0.2">
      <c r="A77" s="192" t="s">
        <v>104</v>
      </c>
      <c r="B77" s="335" t="str">
        <f>IF(C77="","",$B$65&amp;"."&amp;COUNT($F$66:F77))</f>
        <v>2.2.8</v>
      </c>
      <c r="C77" s="192" t="s">
        <v>29</v>
      </c>
      <c r="D77" s="190" t="s">
        <v>4</v>
      </c>
      <c r="E77" s="870">
        <f>SUMIFS('2. DADOS DE ENTRADA'!C:C,'2. DADOS DE ENTRADA'!A:A,'8. TRANS. DISP. FINAL CC'!A77,'2. DADOS DE ENTRADA'!B:B,'8. TRANS. DISP. FINAL CC'!$C$65)</f>
        <v>26</v>
      </c>
      <c r="F77" s="858">
        <f>'3. PREÇOS UNITÁRIOS'!D27/'8. TRANS. DISP. FINAL CC'!E77</f>
        <v>12.594230769230769</v>
      </c>
      <c r="G77" s="858">
        <f>E77*F77</f>
        <v>327.45</v>
      </c>
      <c r="H77" s="871"/>
      <c r="I77" s="357"/>
    </row>
    <row r="78" spans="1:9" x14ac:dyDescent="0.2">
      <c r="A78" s="189"/>
      <c r="B78" s="335" t="str">
        <f>IF(C78="","",$B$65&amp;"."&amp;COUNT($F$66:F78))</f>
        <v>2.2.9</v>
      </c>
      <c r="C78" s="189" t="s">
        <v>397</v>
      </c>
      <c r="D78" s="193" t="s">
        <v>25</v>
      </c>
      <c r="E78" s="862">
        <f>E66</f>
        <v>0.1</v>
      </c>
      <c r="F78" s="858">
        <f>G77</f>
        <v>327.45</v>
      </c>
      <c r="G78" s="858">
        <f>E78*F78</f>
        <v>32.744999999999997</v>
      </c>
      <c r="H78" s="871"/>
      <c r="I78" s="357"/>
    </row>
    <row r="79" spans="1:9" x14ac:dyDescent="0.2">
      <c r="A79" s="189"/>
      <c r="B79" s="335" t="str">
        <f>IF(C79="","",$B$65&amp;"."&amp;COUNT($F$66:F79))</f>
        <v>2.2.10</v>
      </c>
      <c r="C79" s="192" t="s">
        <v>638</v>
      </c>
      <c r="D79" s="190" t="s">
        <v>25</v>
      </c>
      <c r="E79" s="870">
        <f>E78</f>
        <v>0.1</v>
      </c>
      <c r="F79" s="858">
        <f>'3. PREÇOS UNITÁRIOS'!D29</f>
        <v>40</v>
      </c>
      <c r="G79" s="858">
        <f>F79*E79</f>
        <v>4</v>
      </c>
      <c r="H79" s="871"/>
      <c r="I79" s="357"/>
    </row>
    <row r="80" spans="1:9" ht="15" x14ac:dyDescent="0.25">
      <c r="B80" s="540"/>
      <c r="C80" s="529"/>
      <c r="D80" s="529"/>
      <c r="E80" s="1073"/>
      <c r="F80" s="1074" t="s">
        <v>287</v>
      </c>
      <c r="G80" s="1075">
        <f>G76+G78+G79</f>
        <v>411.76660355624801</v>
      </c>
      <c r="H80" s="1076"/>
      <c r="I80" s="357"/>
    </row>
    <row r="81" spans="2:9" ht="15" x14ac:dyDescent="0.2">
      <c r="B81" s="501"/>
      <c r="C81" s="502"/>
      <c r="D81" s="502"/>
      <c r="E81" s="1095" t="s">
        <v>37</v>
      </c>
      <c r="F81" s="1095"/>
      <c r="G81" s="1048">
        <f>G80+G63</f>
        <v>411.76660355624801</v>
      </c>
      <c r="H81" s="1096"/>
      <c r="I81" s="357"/>
    </row>
    <row r="82" spans="2:9" x14ac:dyDescent="0.2">
      <c r="B82" s="335"/>
      <c r="C82" s="189"/>
      <c r="D82" s="193"/>
      <c r="E82" s="862"/>
      <c r="F82" s="994"/>
      <c r="G82" s="994"/>
      <c r="H82" s="904"/>
      <c r="I82" s="357"/>
    </row>
    <row r="83" spans="2:9" ht="15" x14ac:dyDescent="0.2">
      <c r="B83" s="420" t="s">
        <v>17</v>
      </c>
      <c r="C83" s="421" t="s">
        <v>39</v>
      </c>
      <c r="D83" s="422"/>
      <c r="E83" s="1041"/>
      <c r="F83" s="1041"/>
      <c r="G83" s="1041"/>
      <c r="H83" s="1042"/>
    </row>
    <row r="84" spans="2:9" ht="15" x14ac:dyDescent="0.2">
      <c r="B84" s="284"/>
      <c r="C84" s="285"/>
      <c r="D84" s="286"/>
      <c r="E84" s="895"/>
      <c r="F84" s="895"/>
      <c r="G84" s="895"/>
      <c r="H84" s="896"/>
    </row>
    <row r="85" spans="2:9" ht="15" x14ac:dyDescent="0.2">
      <c r="B85" s="420" t="s">
        <v>7</v>
      </c>
      <c r="C85" s="422" t="s">
        <v>8</v>
      </c>
      <c r="D85" s="422" t="s">
        <v>9</v>
      </c>
      <c r="E85" s="1041" t="s">
        <v>10</v>
      </c>
      <c r="F85" s="1041" t="s">
        <v>11</v>
      </c>
      <c r="G85" s="1041" t="s">
        <v>12</v>
      </c>
      <c r="H85" s="1042"/>
      <c r="I85" s="190"/>
    </row>
    <row r="86" spans="2:9" ht="30" x14ac:dyDescent="0.25">
      <c r="B86" s="482" t="s">
        <v>109</v>
      </c>
      <c r="C86" s="483" t="s">
        <v>40</v>
      </c>
      <c r="D86" s="484"/>
      <c r="E86" s="1097"/>
      <c r="F86" s="1097"/>
      <c r="G86" s="1097"/>
      <c r="H86" s="1098"/>
    </row>
    <row r="87" spans="2:9" x14ac:dyDescent="0.2">
      <c r="B87" s="335"/>
      <c r="E87" s="881"/>
      <c r="F87" s="881"/>
      <c r="G87" s="881"/>
      <c r="H87" s="871"/>
    </row>
    <row r="88" spans="2:9" ht="15" x14ac:dyDescent="0.25">
      <c r="B88" s="497" t="s">
        <v>108</v>
      </c>
      <c r="C88" s="498" t="s">
        <v>97</v>
      </c>
      <c r="D88" s="499"/>
      <c r="E88" s="1088"/>
      <c r="F88" s="1088"/>
      <c r="G88" s="1088"/>
      <c r="H88" s="1089"/>
    </row>
    <row r="89" spans="2:9" x14ac:dyDescent="0.2">
      <c r="B89" s="335" t="s">
        <v>289</v>
      </c>
      <c r="C89" s="363" t="s">
        <v>41</v>
      </c>
      <c r="D89" s="364" t="s">
        <v>4</v>
      </c>
      <c r="E89" s="922">
        <f t="array" ref="E89:E95">TRANSPOSE('2. DADOS DE ENTRADA'!C178:I178)</f>
        <v>0.10767499999999999</v>
      </c>
      <c r="F89" s="923">
        <f>'3. PREÇOS UNITÁRIOS'!D10</f>
        <v>81.787999999999997</v>
      </c>
      <c r="G89" s="923">
        <f>F89*E89</f>
        <v>8.8065228999999992</v>
      </c>
      <c r="H89" s="913"/>
      <c r="I89" s="189"/>
    </row>
    <row r="90" spans="2:9" x14ac:dyDescent="0.2">
      <c r="B90" s="335" t="s">
        <v>372</v>
      </c>
      <c r="C90" s="192" t="s">
        <v>42</v>
      </c>
      <c r="D90" s="190" t="s">
        <v>4</v>
      </c>
      <c r="E90" s="924">
        <v>0.10767499999999999</v>
      </c>
      <c r="F90" s="858">
        <f>'3. PREÇOS UNITÁRIOS'!D11</f>
        <v>35.25</v>
      </c>
      <c r="G90" s="858">
        <f t="shared" ref="G90:G95" si="2">F90*E90</f>
        <v>3.7955437499999998</v>
      </c>
      <c r="H90" s="859"/>
      <c r="I90" s="189"/>
    </row>
    <row r="91" spans="2:9" x14ac:dyDescent="0.2">
      <c r="B91" s="335" t="s">
        <v>373</v>
      </c>
      <c r="C91" s="192" t="s">
        <v>43</v>
      </c>
      <c r="D91" s="190" t="s">
        <v>4</v>
      </c>
      <c r="E91" s="924">
        <v>0.10767499999999999</v>
      </c>
      <c r="F91" s="858">
        <f>'3. PREÇOS UNITÁRIOS'!D12</f>
        <v>70.696666666666673</v>
      </c>
      <c r="G91" s="858">
        <f t="shared" si="2"/>
        <v>7.6122635833333332</v>
      </c>
      <c r="H91" s="859"/>
      <c r="I91" s="189"/>
    </row>
    <row r="92" spans="2:9" x14ac:dyDescent="0.2">
      <c r="B92" s="335" t="s">
        <v>374</v>
      </c>
      <c r="C92" s="192" t="s">
        <v>46</v>
      </c>
      <c r="D92" s="190" t="s">
        <v>4</v>
      </c>
      <c r="E92" s="924">
        <v>5.3837499999999996E-2</v>
      </c>
      <c r="F92" s="858">
        <f>'3. PREÇOS UNITÁRIOS'!D13</f>
        <v>13.563333333333333</v>
      </c>
      <c r="G92" s="858">
        <f t="shared" si="2"/>
        <v>0.73021595833333319</v>
      </c>
      <c r="H92" s="859"/>
      <c r="I92" s="189"/>
    </row>
    <row r="93" spans="2:9" x14ac:dyDescent="0.2">
      <c r="B93" s="335" t="s">
        <v>375</v>
      </c>
      <c r="C93" s="189" t="s">
        <v>84</v>
      </c>
      <c r="D93" s="190" t="s">
        <v>4</v>
      </c>
      <c r="E93" s="924">
        <v>0</v>
      </c>
      <c r="F93" s="858">
        <f>'3. PREÇOS UNITÁRIOS'!D15</f>
        <v>98.023333333333326</v>
      </c>
      <c r="G93" s="858">
        <f t="shared" si="2"/>
        <v>0</v>
      </c>
      <c r="H93" s="859"/>
      <c r="I93" s="189"/>
    </row>
    <row r="94" spans="2:9" x14ac:dyDescent="0.2">
      <c r="B94" s="335" t="s">
        <v>376</v>
      </c>
      <c r="C94" s="192" t="s">
        <v>116</v>
      </c>
      <c r="D94" s="190" t="s">
        <v>4</v>
      </c>
      <c r="E94" s="924">
        <v>7.1065500000000004E-2</v>
      </c>
      <c r="F94" s="858">
        <f>'3. PREÇOS UNITÁRIOS'!D17</f>
        <v>6.7633333333333328</v>
      </c>
      <c r="G94" s="858">
        <f t="shared" si="2"/>
        <v>0.48063966499999999</v>
      </c>
      <c r="H94" s="859"/>
      <c r="I94" s="189"/>
    </row>
    <row r="95" spans="2:9" x14ac:dyDescent="0.2">
      <c r="B95" s="335" t="s">
        <v>377</v>
      </c>
      <c r="C95" s="192" t="s">
        <v>117</v>
      </c>
      <c r="D95" s="190" t="s">
        <v>4</v>
      </c>
      <c r="E95" s="924">
        <v>0.21534999999999999</v>
      </c>
      <c r="F95" s="858">
        <f>'3. PREÇOS UNITÁRIOS'!D18</f>
        <v>26.297499999999999</v>
      </c>
      <c r="G95" s="858">
        <f t="shared" si="2"/>
        <v>5.6631666249999997</v>
      </c>
      <c r="H95" s="859"/>
      <c r="I95" s="189"/>
    </row>
    <row r="96" spans="2:9" ht="15" x14ac:dyDescent="0.25">
      <c r="B96" s="541"/>
      <c r="C96" s="529"/>
      <c r="D96" s="529"/>
      <c r="E96" s="1073"/>
      <c r="F96" s="1074" t="s">
        <v>36</v>
      </c>
      <c r="G96" s="1075">
        <f>SUM(G89:G95)</f>
        <v>27.088352481666664</v>
      </c>
      <c r="H96" s="1076"/>
      <c r="I96" s="357"/>
    </row>
    <row r="97" spans="2:9" x14ac:dyDescent="0.2">
      <c r="B97" s="335"/>
      <c r="E97" s="881"/>
      <c r="F97" s="881"/>
      <c r="G97" s="881"/>
      <c r="H97" s="871"/>
    </row>
    <row r="98" spans="2:9" ht="15" x14ac:dyDescent="0.25">
      <c r="B98" s="497" t="s">
        <v>75</v>
      </c>
      <c r="C98" s="498" t="s">
        <v>98</v>
      </c>
      <c r="D98" s="499"/>
      <c r="E98" s="1088"/>
      <c r="F98" s="1088"/>
      <c r="G98" s="1088"/>
      <c r="H98" s="1089"/>
    </row>
    <row r="99" spans="2:9" x14ac:dyDescent="0.2">
      <c r="B99" s="335" t="s">
        <v>290</v>
      </c>
      <c r="C99" s="192" t="s">
        <v>41</v>
      </c>
      <c r="D99" s="190" t="s">
        <v>4</v>
      </c>
      <c r="E99" s="924">
        <v>0</v>
      </c>
      <c r="F99" s="927">
        <f>'3. PREÇOS UNITÁRIOS'!D10</f>
        <v>81.787999999999997</v>
      </c>
      <c r="G99" s="858">
        <f>E99*F99</f>
        <v>0</v>
      </c>
      <c r="H99" s="859"/>
      <c r="I99" s="189"/>
    </row>
    <row r="100" spans="2:9" x14ac:dyDescent="0.2">
      <c r="B100" s="335" t="s">
        <v>378</v>
      </c>
      <c r="C100" s="192" t="s">
        <v>42</v>
      </c>
      <c r="D100" s="190" t="s">
        <v>4</v>
      </c>
      <c r="E100" s="924">
        <v>0</v>
      </c>
      <c r="F100" s="858">
        <f>'3. PREÇOS UNITÁRIOS'!D11</f>
        <v>35.25</v>
      </c>
      <c r="G100" s="858">
        <f t="shared" ref="G100:G106" si="3">E100*F100</f>
        <v>0</v>
      </c>
      <c r="H100" s="859"/>
      <c r="I100" s="189"/>
    </row>
    <row r="101" spans="2:9" x14ac:dyDescent="0.2">
      <c r="B101" s="335" t="s">
        <v>379</v>
      </c>
      <c r="C101" s="192" t="s">
        <v>43</v>
      </c>
      <c r="D101" s="190" t="s">
        <v>4</v>
      </c>
      <c r="E101" s="924">
        <v>0</v>
      </c>
      <c r="F101" s="927">
        <f>'3. PREÇOS UNITÁRIOS'!D12</f>
        <v>70.696666666666673</v>
      </c>
      <c r="G101" s="858">
        <f t="shared" si="3"/>
        <v>0</v>
      </c>
      <c r="H101" s="859"/>
      <c r="I101" s="189"/>
    </row>
    <row r="102" spans="2:9" x14ac:dyDescent="0.2">
      <c r="B102" s="335" t="s">
        <v>380</v>
      </c>
      <c r="C102" s="192" t="s">
        <v>46</v>
      </c>
      <c r="D102" s="190" t="s">
        <v>4</v>
      </c>
      <c r="E102" s="924">
        <v>0</v>
      </c>
      <c r="F102" s="927">
        <f>'3. PREÇOS UNITÁRIOS'!D13</f>
        <v>13.563333333333333</v>
      </c>
      <c r="G102" s="858">
        <f t="shared" si="3"/>
        <v>0</v>
      </c>
      <c r="H102" s="859"/>
      <c r="I102" s="189"/>
    </row>
    <row r="103" spans="2:9" x14ac:dyDescent="0.2">
      <c r="B103" s="335" t="s">
        <v>381</v>
      </c>
      <c r="C103" s="192" t="s">
        <v>44</v>
      </c>
      <c r="D103" s="190" t="s">
        <v>4</v>
      </c>
      <c r="E103" s="924">
        <v>0</v>
      </c>
      <c r="F103" s="927">
        <f>'3. PREÇOS UNITÁRIOS'!D14</f>
        <v>23.113333333333333</v>
      </c>
      <c r="G103" s="858">
        <f t="shared" si="3"/>
        <v>0</v>
      </c>
      <c r="H103" s="859"/>
      <c r="I103" s="189"/>
    </row>
    <row r="104" spans="2:9" x14ac:dyDescent="0.2">
      <c r="B104" s="335" t="s">
        <v>382</v>
      </c>
      <c r="C104" s="192" t="s">
        <v>84</v>
      </c>
      <c r="D104" s="190" t="s">
        <v>4</v>
      </c>
      <c r="E104" s="924">
        <v>0</v>
      </c>
      <c r="F104" s="927">
        <f>'3. PREÇOS UNITÁRIOS'!D15</f>
        <v>98.023333333333326</v>
      </c>
      <c r="G104" s="858">
        <f t="shared" si="3"/>
        <v>0</v>
      </c>
      <c r="H104" s="859"/>
      <c r="I104" s="189"/>
    </row>
    <row r="105" spans="2:9" x14ac:dyDescent="0.2">
      <c r="B105" s="335" t="s">
        <v>383</v>
      </c>
      <c r="C105" s="192" t="s">
        <v>116</v>
      </c>
      <c r="D105" s="190" t="s">
        <v>4</v>
      </c>
      <c r="E105" s="924">
        <v>0</v>
      </c>
      <c r="F105" s="927">
        <f>'3. PREÇOS UNITÁRIOS'!D17</f>
        <v>6.7633333333333328</v>
      </c>
      <c r="G105" s="858">
        <f t="shared" si="3"/>
        <v>0</v>
      </c>
      <c r="H105" s="859"/>
      <c r="I105" s="189"/>
    </row>
    <row r="106" spans="2:9" x14ac:dyDescent="0.2">
      <c r="B106" s="335" t="s">
        <v>384</v>
      </c>
      <c r="C106" s="192" t="s">
        <v>117</v>
      </c>
      <c r="D106" s="190" t="s">
        <v>4</v>
      </c>
      <c r="E106" s="924">
        <v>0</v>
      </c>
      <c r="F106" s="927">
        <f>'3. PREÇOS UNITÁRIOS'!D18</f>
        <v>26.297499999999999</v>
      </c>
      <c r="G106" s="858">
        <f t="shared" si="3"/>
        <v>0</v>
      </c>
      <c r="H106" s="859"/>
      <c r="I106" s="189"/>
    </row>
    <row r="107" spans="2:9" ht="15" x14ac:dyDescent="0.25">
      <c r="B107" s="541"/>
      <c r="C107" s="537"/>
      <c r="D107" s="537"/>
      <c r="E107" s="1092"/>
      <c r="F107" s="1074" t="s">
        <v>36</v>
      </c>
      <c r="G107" s="1075">
        <f>SUM(G99:G106)</f>
        <v>0</v>
      </c>
      <c r="H107" s="1093"/>
      <c r="I107" s="357"/>
    </row>
    <row r="108" spans="2:9" x14ac:dyDescent="0.2">
      <c r="B108" s="335"/>
      <c r="E108" s="924"/>
      <c r="F108" s="929"/>
      <c r="G108" s="858"/>
      <c r="H108" s="859"/>
      <c r="I108" s="357"/>
    </row>
    <row r="109" spans="2:9" ht="15" x14ac:dyDescent="0.25">
      <c r="B109" s="497" t="s">
        <v>107</v>
      </c>
      <c r="C109" s="498" t="s">
        <v>45</v>
      </c>
      <c r="D109" s="499"/>
      <c r="E109" s="1088"/>
      <c r="F109" s="1088"/>
      <c r="G109" s="1088"/>
      <c r="H109" s="1089"/>
      <c r="I109" s="357"/>
    </row>
    <row r="110" spans="2:9" x14ac:dyDescent="0.2">
      <c r="B110" s="335" t="s">
        <v>291</v>
      </c>
      <c r="C110" s="192" t="s">
        <v>41</v>
      </c>
      <c r="D110" s="190" t="s">
        <v>4</v>
      </c>
      <c r="E110" s="924">
        <v>0</v>
      </c>
      <c r="F110" s="927">
        <f>'3. PREÇOS UNITÁRIOS'!D10</f>
        <v>81.787999999999997</v>
      </c>
      <c r="G110" s="927">
        <f>E110*F110</f>
        <v>0</v>
      </c>
      <c r="H110" s="859"/>
      <c r="I110" s="189"/>
    </row>
    <row r="111" spans="2:9" x14ac:dyDescent="0.2">
      <c r="B111" s="335" t="s">
        <v>385</v>
      </c>
      <c r="C111" s="192" t="s">
        <v>42</v>
      </c>
      <c r="D111" s="190" t="s">
        <v>4</v>
      </c>
      <c r="E111" s="924">
        <v>0</v>
      </c>
      <c r="F111" s="927">
        <f>'3. PREÇOS UNITÁRIOS'!D11</f>
        <v>35.25</v>
      </c>
      <c r="G111" s="927">
        <f t="shared" ref="G111:G117" si="4">E111*F111</f>
        <v>0</v>
      </c>
      <c r="H111" s="859"/>
      <c r="I111" s="189"/>
    </row>
    <row r="112" spans="2:9" x14ac:dyDescent="0.2">
      <c r="B112" s="335" t="s">
        <v>386</v>
      </c>
      <c r="C112" s="192" t="s">
        <v>115</v>
      </c>
      <c r="D112" s="190" t="s">
        <v>4</v>
      </c>
      <c r="E112" s="924">
        <v>0</v>
      </c>
      <c r="F112" s="927">
        <f>'3. PREÇOS UNITÁRIOS'!D12</f>
        <v>70.696666666666673</v>
      </c>
      <c r="G112" s="927">
        <f t="shared" si="4"/>
        <v>0</v>
      </c>
      <c r="H112" s="859"/>
      <c r="I112" s="189"/>
    </row>
    <row r="113" spans="1:15" x14ac:dyDescent="0.2">
      <c r="B113" s="335" t="s">
        <v>387</v>
      </c>
      <c r="C113" s="192" t="s">
        <v>46</v>
      </c>
      <c r="D113" s="190" t="s">
        <v>4</v>
      </c>
      <c r="E113" s="924">
        <v>0</v>
      </c>
      <c r="F113" s="927">
        <f>'3. PREÇOS UNITÁRIOS'!D13</f>
        <v>13.563333333333333</v>
      </c>
      <c r="G113" s="927">
        <f t="shared" si="4"/>
        <v>0</v>
      </c>
      <c r="H113" s="859"/>
      <c r="I113" s="189"/>
    </row>
    <row r="114" spans="1:15" x14ac:dyDescent="0.2">
      <c r="B114" s="335" t="s">
        <v>388</v>
      </c>
      <c r="C114" s="192" t="s">
        <v>84</v>
      </c>
      <c r="D114" s="190" t="s">
        <v>4</v>
      </c>
      <c r="E114" s="924">
        <v>0</v>
      </c>
      <c r="F114" s="927">
        <f>'3. PREÇOS UNITÁRIOS'!D15</f>
        <v>98.023333333333326</v>
      </c>
      <c r="G114" s="927">
        <f t="shared" si="4"/>
        <v>0</v>
      </c>
      <c r="H114" s="859"/>
      <c r="I114" s="189"/>
    </row>
    <row r="115" spans="1:15" x14ac:dyDescent="0.2">
      <c r="B115" s="335" t="s">
        <v>389</v>
      </c>
      <c r="C115" s="192" t="s">
        <v>47</v>
      </c>
      <c r="D115" s="190" t="s">
        <v>4</v>
      </c>
      <c r="E115" s="924">
        <v>0</v>
      </c>
      <c r="F115" s="927">
        <f>'3. PREÇOS UNITÁRIOS'!D16</f>
        <v>14.2325</v>
      </c>
      <c r="G115" s="927">
        <f t="shared" si="4"/>
        <v>0</v>
      </c>
      <c r="H115" s="859"/>
      <c r="I115" s="189"/>
    </row>
    <row r="116" spans="1:15" x14ac:dyDescent="0.2">
      <c r="B116" s="335" t="s">
        <v>390</v>
      </c>
      <c r="C116" s="192" t="s">
        <v>116</v>
      </c>
      <c r="D116" s="190" t="s">
        <v>4</v>
      </c>
      <c r="E116" s="924">
        <v>0</v>
      </c>
      <c r="F116" s="927">
        <f>'3. PREÇOS UNITÁRIOS'!D17</f>
        <v>6.7633333333333328</v>
      </c>
      <c r="G116" s="927">
        <f t="shared" si="4"/>
        <v>0</v>
      </c>
      <c r="H116" s="859"/>
      <c r="I116" s="189"/>
    </row>
    <row r="117" spans="1:15" x14ac:dyDescent="0.2">
      <c r="B117" s="335" t="s">
        <v>391</v>
      </c>
      <c r="C117" s="192" t="s">
        <v>117</v>
      </c>
      <c r="D117" s="190" t="s">
        <v>4</v>
      </c>
      <c r="E117" s="924">
        <v>0</v>
      </c>
      <c r="F117" s="927">
        <f>'3. PREÇOS UNITÁRIOS'!D18</f>
        <v>26.297499999999999</v>
      </c>
      <c r="G117" s="927">
        <f t="shared" si="4"/>
        <v>0</v>
      </c>
      <c r="H117" s="859"/>
      <c r="I117" s="189"/>
    </row>
    <row r="118" spans="1:15" ht="15" x14ac:dyDescent="0.25">
      <c r="B118" s="541"/>
      <c r="C118" s="537"/>
      <c r="D118" s="537"/>
      <c r="E118" s="1092"/>
      <c r="F118" s="1074" t="s">
        <v>36</v>
      </c>
      <c r="G118" s="1075">
        <f>SUM(G110:G117)</f>
        <v>0</v>
      </c>
      <c r="H118" s="1093"/>
      <c r="I118" s="357"/>
    </row>
    <row r="119" spans="1:15" ht="15" x14ac:dyDescent="0.2">
      <c r="B119" s="448"/>
      <c r="C119" s="441"/>
      <c r="D119" s="441"/>
      <c r="E119" s="1048" t="s">
        <v>292</v>
      </c>
      <c r="F119" s="1048"/>
      <c r="G119" s="1048">
        <f>G118+G107+G96</f>
        <v>27.088352481666664</v>
      </c>
      <c r="H119" s="1099"/>
    </row>
    <row r="120" spans="1:15" s="192" customFormat="1" ht="15" x14ac:dyDescent="0.2">
      <c r="B120" s="302"/>
      <c r="C120" s="303"/>
      <c r="D120" s="303"/>
      <c r="E120" s="933"/>
      <c r="F120" s="933"/>
      <c r="G120" s="933"/>
      <c r="H120" s="934"/>
    </row>
    <row r="121" spans="1:15" s="192" customFormat="1" ht="15" x14ac:dyDescent="0.2">
      <c r="B121" s="505"/>
      <c r="C121" s="506"/>
      <c r="D121" s="506"/>
      <c r="E121" s="1100" t="s">
        <v>620</v>
      </c>
      <c r="F121" s="1100"/>
      <c r="G121" s="1100">
        <f>G81+G43+G119</f>
        <v>1586.9145775425779</v>
      </c>
      <c r="H121" s="1101"/>
    </row>
    <row r="122" spans="1:15" s="192" customFormat="1" ht="15" x14ac:dyDescent="0.2">
      <c r="B122" s="302"/>
      <c r="C122" s="303"/>
      <c r="D122" s="303"/>
      <c r="E122" s="933"/>
      <c r="F122" s="933"/>
      <c r="G122" s="933"/>
      <c r="H122" s="934"/>
    </row>
    <row r="123" spans="1:15" s="192" customFormat="1" ht="15" x14ac:dyDescent="0.2">
      <c r="B123" s="478" t="s">
        <v>38</v>
      </c>
      <c r="C123" s="479" t="s">
        <v>6</v>
      </c>
      <c r="D123" s="480"/>
      <c r="E123" s="1102"/>
      <c r="F123" s="1102"/>
      <c r="G123" s="1102"/>
      <c r="H123" s="1103"/>
      <c r="J123" s="189"/>
      <c r="K123" s="189"/>
      <c r="L123" s="189"/>
      <c r="M123" s="189"/>
      <c r="N123" s="189"/>
      <c r="O123" s="189"/>
    </row>
    <row r="124" spans="1:15" s="192" customFormat="1" ht="15" x14ac:dyDescent="0.2">
      <c r="B124" s="284"/>
      <c r="C124" s="285"/>
      <c r="D124" s="286"/>
      <c r="E124" s="895"/>
      <c r="F124" s="895"/>
      <c r="G124" s="895"/>
      <c r="H124" s="896"/>
    </row>
    <row r="125" spans="1:15" s="192" customFormat="1" ht="15" x14ac:dyDescent="0.2">
      <c r="B125" s="420" t="s">
        <v>7</v>
      </c>
      <c r="C125" s="421" t="s">
        <v>8</v>
      </c>
      <c r="D125" s="422" t="s">
        <v>9</v>
      </c>
      <c r="E125" s="1041" t="s">
        <v>10</v>
      </c>
      <c r="F125" s="1041" t="s">
        <v>11</v>
      </c>
      <c r="G125" s="1041" t="s">
        <v>12</v>
      </c>
      <c r="H125" s="1042"/>
      <c r="J125" s="189"/>
      <c r="K125" s="189"/>
      <c r="L125" s="189"/>
      <c r="M125" s="189"/>
      <c r="N125" s="189"/>
      <c r="O125" s="189"/>
    </row>
    <row r="126" spans="1:15" s="192" customFormat="1" ht="15" x14ac:dyDescent="0.25">
      <c r="B126" s="497" t="s">
        <v>95</v>
      </c>
      <c r="C126" s="498" t="s">
        <v>13</v>
      </c>
      <c r="D126" s="499"/>
      <c r="E126" s="1088"/>
      <c r="F126" s="1088"/>
      <c r="G126" s="1088"/>
      <c r="H126" s="1089"/>
      <c r="J126" s="189"/>
      <c r="K126" s="189"/>
      <c r="L126" s="189"/>
      <c r="M126" s="189"/>
      <c r="N126" s="189"/>
      <c r="O126" s="189"/>
    </row>
    <row r="127" spans="1:15" s="192" customFormat="1" x14ac:dyDescent="0.2">
      <c r="A127" s="192" t="s">
        <v>275</v>
      </c>
      <c r="B127" s="375" t="str">
        <f>IF(C127="","",$B$126&amp;"."&amp;COUNT($F$127:F127))</f>
        <v>4.1.1</v>
      </c>
      <c r="C127" s="379" t="str">
        <f>'2. DADOS DE ENTRADA'!B232</f>
        <v xml:space="preserve">Caminhão para Roll on Roll off </v>
      </c>
      <c r="D127" s="190" t="s">
        <v>4</v>
      </c>
      <c r="E127" s="940">
        <f>SUMIFS('2. DADOS DE ENTRADA'!I:I,'2. DADOS DE ENTRADA'!A:A,'8. TRANS. DISP. FINAL CC'!A127,'2. DADOS DE ENTRADA'!B:B,'8. TRANS. DISP. FINAL CC'!C127)</f>
        <v>0.33</v>
      </c>
      <c r="F127" s="941">
        <f>'3. PREÇOS UNITÁRIOS'!D45</f>
        <v>288976</v>
      </c>
      <c r="G127" s="941">
        <f>E127*F127</f>
        <v>95362.08</v>
      </c>
      <c r="H127" s="904"/>
      <c r="J127" s="189"/>
      <c r="K127" s="189"/>
      <c r="L127" s="189"/>
      <c r="M127" s="189"/>
      <c r="N127" s="189"/>
      <c r="O127" s="189"/>
    </row>
    <row r="128" spans="1:15" s="192" customFormat="1" x14ac:dyDescent="0.2">
      <c r="A128" s="192" t="s">
        <v>275</v>
      </c>
      <c r="B128" s="375" t="str">
        <f>IF(C128="","",$B$126&amp;"."&amp;COUNT($F$127:F128))</f>
        <v>4.1.2</v>
      </c>
      <c r="C128" s="379" t="str">
        <f>'2. DADOS DE ENTRADA'!B233</f>
        <v>Caminhão para Roll on Roll off reserva</v>
      </c>
      <c r="D128" s="190" t="s">
        <v>4</v>
      </c>
      <c r="E128" s="940">
        <f>SUMIFS('2. DADOS DE ENTRADA'!I:I,'2. DADOS DE ENTRADA'!A:A,'8. TRANS. DISP. FINAL CC'!A128,'2. DADOS DE ENTRADA'!B:B,'8. TRANS. DISP. FINAL CC'!C128)</f>
        <v>0</v>
      </c>
      <c r="F128" s="941">
        <f>'3. PREÇOS UNITÁRIOS'!D45</f>
        <v>288976</v>
      </c>
      <c r="G128" s="941">
        <f t="shared" ref="G128:G136" si="5">E128*F128</f>
        <v>0</v>
      </c>
      <c r="H128" s="904"/>
      <c r="J128" s="189"/>
      <c r="K128" s="189"/>
      <c r="L128" s="189"/>
      <c r="M128" s="189"/>
      <c r="N128" s="189"/>
      <c r="O128" s="189"/>
    </row>
    <row r="129" spans="1:15" s="192" customFormat="1" x14ac:dyDescent="0.2">
      <c r="A129" s="192" t="s">
        <v>275</v>
      </c>
      <c r="B129" s="375" t="str">
        <f>IF(C129="","",$B$126&amp;"."&amp;COUNT($F$127:F129))</f>
        <v>4.1.3</v>
      </c>
      <c r="C129" s="379" t="str">
        <f>'2. DADOS DE ENTRADA'!B234</f>
        <v>Equipamento Roll on Roll off operando 1 turno</v>
      </c>
      <c r="D129" s="190" t="s">
        <v>4</v>
      </c>
      <c r="E129" s="940">
        <f>SUMIFS('2. DADOS DE ENTRADA'!I:I,'2. DADOS DE ENTRADA'!A:A,'8. TRANS. DISP. FINAL CC'!A129,'2. DADOS DE ENTRADA'!B:B,'8. TRANS. DISP. FINAL CC'!C129)</f>
        <v>0.33</v>
      </c>
      <c r="F129" s="941">
        <f>'3. PREÇOS UNITÁRIOS'!D46</f>
        <v>39241.384405999997</v>
      </c>
      <c r="G129" s="941">
        <f t="shared" si="5"/>
        <v>12949.656853979999</v>
      </c>
      <c r="H129" s="904"/>
      <c r="J129" s="189"/>
      <c r="K129" s="189"/>
      <c r="L129" s="189"/>
      <c r="M129" s="189"/>
      <c r="N129" s="189"/>
      <c r="O129" s="189"/>
    </row>
    <row r="130" spans="1:15" s="192" customFormat="1" x14ac:dyDescent="0.2">
      <c r="A130" s="192" t="s">
        <v>275</v>
      </c>
      <c r="B130" s="375" t="str">
        <f>IF(C130="","",$B$126&amp;"."&amp;COUNT($F$127:F130))</f>
        <v>4.1.4</v>
      </c>
      <c r="C130" s="379" t="str">
        <f>'2. DADOS DE ENTRADA'!B235</f>
        <v>Equipamento Roll on Roll off reserva</v>
      </c>
      <c r="D130" s="190" t="s">
        <v>4</v>
      </c>
      <c r="E130" s="940">
        <f>SUMIFS('2. DADOS DE ENTRADA'!I:I,'2. DADOS DE ENTRADA'!A:A,'8. TRANS. DISP. FINAL CC'!A130,'2. DADOS DE ENTRADA'!B:B,'8. TRANS. DISP. FINAL CC'!C130)</f>
        <v>0</v>
      </c>
      <c r="F130" s="941">
        <f>'3. PREÇOS UNITÁRIOS'!D46</f>
        <v>39241.384405999997</v>
      </c>
      <c r="G130" s="941">
        <f t="shared" si="5"/>
        <v>0</v>
      </c>
      <c r="H130" s="904"/>
      <c r="J130" s="189"/>
      <c r="K130" s="189"/>
      <c r="L130" s="189"/>
      <c r="M130" s="189"/>
      <c r="N130" s="189"/>
      <c r="O130" s="189"/>
    </row>
    <row r="131" spans="1:15" s="192" customFormat="1" x14ac:dyDescent="0.2">
      <c r="A131" s="192" t="s">
        <v>275</v>
      </c>
      <c r="B131" s="375" t="str">
        <f>IF(C131="","",$B$126&amp;"."&amp;COUNT($F$127:F131))</f>
        <v>4.1.5</v>
      </c>
      <c r="C131" s="379" t="str">
        <f>'2. DADOS DE ENTRADA'!B236</f>
        <v>Conteiner 39 m³ operando 1 turno</v>
      </c>
      <c r="D131" s="190" t="s">
        <v>4</v>
      </c>
      <c r="E131" s="940">
        <f>SUMIFS('2. DADOS DE ENTRADA'!I:I,'2. DADOS DE ENTRADA'!A:A,'8. TRANS. DISP. FINAL CC'!A131,'2. DADOS DE ENTRADA'!B:B,'8. TRANS. DISP. FINAL CC'!C131)</f>
        <v>0.33</v>
      </c>
      <c r="F131" s="941">
        <f>'3. PREÇOS UNITÁRIOS'!D47</f>
        <v>10721.077999999998</v>
      </c>
      <c r="G131" s="941">
        <f>E131*F131</f>
        <v>3537.9557399999994</v>
      </c>
      <c r="H131" s="904"/>
      <c r="J131" s="189"/>
      <c r="K131" s="189"/>
      <c r="L131" s="189"/>
      <c r="M131" s="189"/>
      <c r="N131" s="189"/>
      <c r="O131" s="189"/>
    </row>
    <row r="132" spans="1:15" s="192" customFormat="1" x14ac:dyDescent="0.2">
      <c r="A132" s="192" t="s">
        <v>275</v>
      </c>
      <c r="B132" s="375" t="str">
        <f>IF(C132="","",$B$126&amp;"."&amp;COUNT($F$127:F132))</f>
        <v>4.1.6</v>
      </c>
      <c r="C132" s="379" t="str">
        <f>'2. DADOS DE ENTRADA'!B237</f>
        <v>Conteiner 39 m³ reserva</v>
      </c>
      <c r="D132" s="190" t="s">
        <v>4</v>
      </c>
      <c r="E132" s="940">
        <f>SUMIFS('2. DADOS DE ENTRADA'!I:I,'2. DADOS DE ENTRADA'!A:A,'8. TRANS. DISP. FINAL CC'!A132,'2. DADOS DE ENTRADA'!B:B,'8. TRANS. DISP. FINAL CC'!C132)</f>
        <v>0</v>
      </c>
      <c r="F132" s="941">
        <f>'3. PREÇOS UNITÁRIOS'!D47</f>
        <v>10721.077999999998</v>
      </c>
      <c r="G132" s="941">
        <f t="shared" si="5"/>
        <v>0</v>
      </c>
      <c r="H132" s="904"/>
      <c r="J132" s="189"/>
      <c r="K132" s="189"/>
      <c r="L132" s="189"/>
      <c r="M132" s="189"/>
      <c r="N132" s="189"/>
      <c r="O132" s="189"/>
    </row>
    <row r="133" spans="1:15" s="192" customFormat="1" ht="15" x14ac:dyDescent="0.25">
      <c r="B133" s="540"/>
      <c r="C133" s="529"/>
      <c r="D133" s="529"/>
      <c r="E133" s="1073"/>
      <c r="F133" s="1074" t="s">
        <v>36</v>
      </c>
      <c r="G133" s="1075">
        <f>SUM(G127:G132)</f>
        <v>111849.69259398</v>
      </c>
      <c r="H133" s="1076"/>
      <c r="J133" s="189"/>
      <c r="K133" s="189"/>
      <c r="L133" s="189"/>
      <c r="M133" s="189"/>
      <c r="N133" s="189"/>
      <c r="O133" s="189"/>
    </row>
    <row r="134" spans="1:15" s="192" customFormat="1" ht="15" x14ac:dyDescent="0.25">
      <c r="B134" s="386"/>
      <c r="C134" s="387"/>
      <c r="D134" s="387"/>
      <c r="E134" s="961"/>
      <c r="F134" s="877"/>
      <c r="G134" s="861"/>
      <c r="H134" s="962"/>
    </row>
    <row r="135" spans="1:15" s="192" customFormat="1" ht="15" x14ac:dyDescent="0.25">
      <c r="B135" s="482" t="s">
        <v>94</v>
      </c>
      <c r="C135" s="483" t="s">
        <v>360</v>
      </c>
      <c r="D135" s="484"/>
      <c r="E135" s="1097"/>
      <c r="F135" s="1097"/>
      <c r="G135" s="1097"/>
      <c r="H135" s="1098"/>
      <c r="J135" s="189"/>
      <c r="K135" s="189"/>
      <c r="L135" s="189"/>
      <c r="M135" s="189"/>
      <c r="N135" s="189"/>
      <c r="O135" s="189"/>
    </row>
    <row r="136" spans="1:15" s="192" customFormat="1" x14ac:dyDescent="0.2">
      <c r="A136" s="192" t="s">
        <v>275</v>
      </c>
      <c r="B136" s="375" t="str">
        <f>IF(C136="","",$B$135&amp;"."&amp;COUNT($F$136:F136))</f>
        <v>4.2.1</v>
      </c>
      <c r="C136" s="189" t="str">
        <f>'2. DADOS DE ENTRADA'!B228</f>
        <v>Veículo de apoio tipo picape.</v>
      </c>
      <c r="D136" s="193" t="s">
        <v>4</v>
      </c>
      <c r="E136" s="1140">
        <f>SUMIFS('2. DADOS DE ENTRADA'!I:I,'2. DADOS DE ENTRADA'!A:A,'8. TRANS. DISP. FINAL CC'!A136,'2. DADOS DE ENTRADA'!B:B,'8. TRANS. DISP. FINAL CC'!C136)</f>
        <v>0</v>
      </c>
      <c r="F136" s="927">
        <f>'3. PREÇOS UNITÁRIOS'!D38</f>
        <v>0</v>
      </c>
      <c r="G136" s="927">
        <f t="shared" si="5"/>
        <v>0</v>
      </c>
      <c r="H136" s="904"/>
      <c r="J136" s="189"/>
      <c r="K136" s="189"/>
      <c r="L136" s="189"/>
      <c r="M136" s="189"/>
      <c r="N136" s="189"/>
      <c r="O136" s="189"/>
    </row>
    <row r="137" spans="1:15" ht="15" x14ac:dyDescent="0.25">
      <c r="B137" s="543"/>
      <c r="C137" s="524"/>
      <c r="D137" s="524"/>
      <c r="E137" s="1069"/>
      <c r="F137" s="1070" t="s">
        <v>36</v>
      </c>
      <c r="G137" s="1071">
        <f>SUM(G136:G136)</f>
        <v>0</v>
      </c>
      <c r="H137" s="1072"/>
    </row>
    <row r="138" spans="1:15" ht="15" x14ac:dyDescent="0.2">
      <c r="B138" s="508"/>
      <c r="C138" s="509"/>
      <c r="D138" s="509" t="s">
        <v>309</v>
      </c>
      <c r="E138" s="1106"/>
      <c r="F138" s="1106"/>
      <c r="G138" s="1107">
        <f>G133+G137</f>
        <v>111849.69259398</v>
      </c>
      <c r="H138" s="1108"/>
      <c r="I138" s="414"/>
    </row>
    <row r="139" spans="1:15" x14ac:dyDescent="0.2">
      <c r="B139" s="335"/>
      <c r="E139" s="881"/>
      <c r="F139" s="881"/>
      <c r="G139" s="881"/>
      <c r="H139" s="871"/>
    </row>
    <row r="140" spans="1:15" ht="15" x14ac:dyDescent="0.2">
      <c r="B140" s="420" t="s">
        <v>48</v>
      </c>
      <c r="C140" s="421" t="s">
        <v>49</v>
      </c>
      <c r="D140" s="422"/>
      <c r="E140" s="1041"/>
      <c r="F140" s="1041"/>
      <c r="G140" s="1041"/>
      <c r="H140" s="1042"/>
      <c r="J140" s="192"/>
      <c r="K140" s="192"/>
      <c r="L140" s="192"/>
      <c r="M140" s="192"/>
    </row>
    <row r="141" spans="1:15" ht="15" x14ac:dyDescent="0.2">
      <c r="B141" s="284"/>
      <c r="C141" s="285"/>
      <c r="D141" s="286"/>
      <c r="E141" s="895"/>
      <c r="F141" s="895"/>
      <c r="G141" s="895"/>
      <c r="H141" s="896"/>
      <c r="J141" s="192"/>
      <c r="K141" s="192"/>
      <c r="L141" s="192"/>
      <c r="M141" s="192"/>
    </row>
    <row r="142" spans="1:15" ht="15" x14ac:dyDescent="0.2">
      <c r="B142" s="420" t="s">
        <v>7</v>
      </c>
      <c r="C142" s="421" t="s">
        <v>8</v>
      </c>
      <c r="D142" s="422" t="s">
        <v>9</v>
      </c>
      <c r="E142" s="1041" t="s">
        <v>10</v>
      </c>
      <c r="F142" s="1041" t="s">
        <v>11</v>
      </c>
      <c r="G142" s="1041" t="s">
        <v>12</v>
      </c>
      <c r="H142" s="1042"/>
      <c r="I142" s="474"/>
      <c r="J142" s="192"/>
      <c r="K142" s="192"/>
      <c r="L142" s="192"/>
      <c r="M142" s="192"/>
    </row>
    <row r="143" spans="1:15" ht="15" x14ac:dyDescent="0.25">
      <c r="B143" s="497" t="s">
        <v>96</v>
      </c>
      <c r="C143" s="498" t="s">
        <v>101</v>
      </c>
      <c r="D143" s="499"/>
      <c r="E143" s="1088"/>
      <c r="F143" s="1088"/>
      <c r="G143" s="1088"/>
      <c r="H143" s="1089"/>
      <c r="J143" s="192"/>
      <c r="K143" s="192"/>
      <c r="L143" s="192"/>
      <c r="M143" s="192"/>
    </row>
    <row r="144" spans="1:15" x14ac:dyDescent="0.2">
      <c r="B144" s="335" t="s">
        <v>99</v>
      </c>
      <c r="C144" s="379" t="str">
        <f t="shared" ref="C144:C149" si="6">C127</f>
        <v xml:space="preserve">Caminhão para Roll on Roll off </v>
      </c>
      <c r="D144" s="193" t="s">
        <v>1</v>
      </c>
      <c r="E144" s="957">
        <f>'2. DADOS DE ENTRADA'!C226</f>
        <v>0.65180000000000005</v>
      </c>
      <c r="F144" s="1000">
        <f>(F127*E127)-(E127*10*F182)</f>
        <v>87970.08</v>
      </c>
      <c r="G144" s="1110">
        <f>(F144/'2. DADOS DE ENTRADA'!D232)*'8. TRANS. DISP. FINAL CC'!E144</f>
        <v>477.82415120000007</v>
      </c>
      <c r="H144" s="956"/>
      <c r="I144" s="413"/>
      <c r="J144" s="224"/>
    </row>
    <row r="145" spans="2:10" x14ac:dyDescent="0.2">
      <c r="B145" s="335" t="s">
        <v>73</v>
      </c>
      <c r="C145" s="379" t="str">
        <f t="shared" si="6"/>
        <v>Caminhão para Roll on Roll off reserva</v>
      </c>
      <c r="D145" s="193" t="s">
        <v>1</v>
      </c>
      <c r="E145" s="957">
        <f>'2. DADOS DE ENTRADA'!C227</f>
        <v>0.65180000000000005</v>
      </c>
      <c r="F145" s="1000">
        <f>(F128*E128)-(E128*10*F182)</f>
        <v>0</v>
      </c>
      <c r="G145" s="1110">
        <f>(F145/'2. DADOS DE ENTRADA'!D233)*'8. TRANS. DISP. FINAL CC'!E145</f>
        <v>0</v>
      </c>
      <c r="H145" s="956"/>
      <c r="I145" s="413"/>
      <c r="J145" s="224"/>
    </row>
    <row r="146" spans="2:10" x14ac:dyDescent="0.2">
      <c r="B146" s="335" t="s">
        <v>78</v>
      </c>
      <c r="C146" s="379" t="str">
        <f t="shared" si="6"/>
        <v>Equipamento Roll on Roll off operando 1 turno</v>
      </c>
      <c r="D146" s="193" t="s">
        <v>1</v>
      </c>
      <c r="E146" s="957">
        <f>'2. DADOS DE ENTRADA'!C230</f>
        <v>0.65180000000000005</v>
      </c>
      <c r="F146" s="1000">
        <f>E129*F129</f>
        <v>12949.656853979999</v>
      </c>
      <c r="G146" s="1110">
        <f>(F146/'2. DADOS DE ENTRADA'!D234)*'8. TRANS. DISP. FINAL CC'!E146</f>
        <v>70.338219478534697</v>
      </c>
      <c r="H146" s="871"/>
      <c r="I146" s="413"/>
      <c r="J146" s="224"/>
    </row>
    <row r="147" spans="2:10" x14ac:dyDescent="0.2">
      <c r="B147" s="335" t="s">
        <v>361</v>
      </c>
      <c r="C147" s="379" t="str">
        <f t="shared" si="6"/>
        <v>Equipamento Roll on Roll off reserva</v>
      </c>
      <c r="D147" s="193" t="s">
        <v>1</v>
      </c>
      <c r="E147" s="957">
        <f>'2. DADOS DE ENTRADA'!C231</f>
        <v>0.65180000000000005</v>
      </c>
      <c r="F147" s="1000">
        <f>E130*F130</f>
        <v>0</v>
      </c>
      <c r="G147" s="1110">
        <f>(F147/'2. DADOS DE ENTRADA'!D235)*'8. TRANS. DISP. FINAL CC'!E147</f>
        <v>0</v>
      </c>
      <c r="H147" s="871"/>
      <c r="I147" s="413"/>
      <c r="J147" s="224"/>
    </row>
    <row r="148" spans="2:10" x14ac:dyDescent="0.2">
      <c r="B148" s="335" t="s">
        <v>364</v>
      </c>
      <c r="C148" s="379" t="str">
        <f t="shared" si="6"/>
        <v>Conteiner 39 m³ operando 1 turno</v>
      </c>
      <c r="D148" s="193" t="s">
        <v>1</v>
      </c>
      <c r="E148" s="957">
        <f>'2. DADOS DE ENTRADA'!C232</f>
        <v>0.65180000000000005</v>
      </c>
      <c r="F148" s="1000">
        <f>E131*F131</f>
        <v>3537.9557399999994</v>
      </c>
      <c r="G148" s="1110">
        <f>(F148/'2. DADOS DE ENTRADA'!D236)*'8. TRANS. DISP. FINAL CC'!E148</f>
        <v>19.216996261099997</v>
      </c>
      <c r="H148" s="871"/>
      <c r="I148" s="413"/>
      <c r="J148" s="224"/>
    </row>
    <row r="149" spans="2:10" x14ac:dyDescent="0.2">
      <c r="B149" s="335" t="s">
        <v>363</v>
      </c>
      <c r="C149" s="379" t="str">
        <f t="shared" si="6"/>
        <v>Conteiner 39 m³ reserva</v>
      </c>
      <c r="D149" s="193" t="s">
        <v>1</v>
      </c>
      <c r="E149" s="957">
        <f>'2. DADOS DE ENTRADA'!C233</f>
        <v>0.65180000000000005</v>
      </c>
      <c r="F149" s="1000">
        <f>E132*F132</f>
        <v>0</v>
      </c>
      <c r="G149" s="1110">
        <f>(F149/'2. DADOS DE ENTRADA'!D237)*'8. TRANS. DISP. FINAL CC'!E149</f>
        <v>0</v>
      </c>
      <c r="H149" s="871"/>
      <c r="I149" s="413"/>
      <c r="J149" s="224"/>
    </row>
    <row r="150" spans="2:10" ht="15" x14ac:dyDescent="0.25">
      <c r="B150" s="540"/>
      <c r="C150" s="529"/>
      <c r="D150" s="529"/>
      <c r="E150" s="1073"/>
      <c r="F150" s="1074" t="s">
        <v>36</v>
      </c>
      <c r="G150" s="1075">
        <f>SUM(G144:G149)</f>
        <v>567.37936693963479</v>
      </c>
      <c r="H150" s="1076"/>
      <c r="I150" s="413"/>
      <c r="J150" s="224"/>
    </row>
    <row r="151" spans="2:10" s="192" customFormat="1" ht="15" x14ac:dyDescent="0.25">
      <c r="B151" s="386"/>
      <c r="C151" s="387"/>
      <c r="D151" s="387"/>
      <c r="E151" s="961"/>
      <c r="F151" s="877"/>
      <c r="G151" s="861"/>
      <c r="H151" s="962"/>
      <c r="I151" s="413"/>
      <c r="J151" s="413"/>
    </row>
    <row r="152" spans="2:10" ht="15" x14ac:dyDescent="0.25">
      <c r="B152" s="497" t="s">
        <v>125</v>
      </c>
      <c r="C152" s="498" t="s">
        <v>51</v>
      </c>
      <c r="D152" s="499"/>
      <c r="E152" s="1088"/>
      <c r="F152" s="1088"/>
      <c r="G152" s="1088"/>
      <c r="H152" s="1089"/>
    </row>
    <row r="153" spans="2:10" s="192" customFormat="1" x14ac:dyDescent="0.2">
      <c r="B153" s="389" t="s">
        <v>368</v>
      </c>
      <c r="C153" s="363" t="s">
        <v>633</v>
      </c>
      <c r="D153" s="364" t="s">
        <v>1</v>
      </c>
      <c r="E153" s="963">
        <f>'2. DADOS DE ENTRADA'!C228</f>
        <v>0.65180000000000005</v>
      </c>
      <c r="F153" s="926">
        <f>(E136*F136)-(E136*4*F193)</f>
        <v>0</v>
      </c>
      <c r="G153" s="926">
        <f>(F153/'2. DADOS DE ENTRADA'!D228)*E153</f>
        <v>0</v>
      </c>
      <c r="H153" s="913"/>
      <c r="I153" s="413"/>
      <c r="J153" s="413"/>
    </row>
    <row r="154" spans="2:10" ht="15" x14ac:dyDescent="0.25">
      <c r="B154" s="540"/>
      <c r="C154" s="529"/>
      <c r="D154" s="529"/>
      <c r="E154" s="1073"/>
      <c r="F154" s="1074" t="s">
        <v>36</v>
      </c>
      <c r="G154" s="1075">
        <f>SUM(G153:G153)</f>
        <v>0</v>
      </c>
      <c r="H154" s="1076"/>
      <c r="I154" s="391"/>
      <c r="J154" s="224"/>
    </row>
    <row r="155" spans="2:10" x14ac:dyDescent="0.2">
      <c r="B155" s="335"/>
      <c r="D155" s="190"/>
      <c r="E155" s="857"/>
      <c r="F155" s="881"/>
      <c r="G155" s="964"/>
      <c r="H155" s="965"/>
      <c r="I155" s="391"/>
    </row>
    <row r="156" spans="2:10" ht="15" x14ac:dyDescent="0.25">
      <c r="B156" s="497" t="s">
        <v>126</v>
      </c>
      <c r="C156" s="546" t="s">
        <v>119</v>
      </c>
      <c r="D156" s="547" t="s">
        <v>1</v>
      </c>
      <c r="E156" s="1111">
        <v>1.06</v>
      </c>
      <c r="F156" s="1112">
        <f>SUM(F144:F149,F153:F153)</f>
        <v>104457.69259398</v>
      </c>
      <c r="G156" s="1113">
        <f>F156*E156/100</f>
        <v>1107.2515414961881</v>
      </c>
      <c r="H156" s="1114"/>
      <c r="I156" s="391"/>
    </row>
    <row r="157" spans="2:10" x14ac:dyDescent="0.2">
      <c r="B157" s="335"/>
      <c r="D157" s="190"/>
      <c r="E157" s="857"/>
      <c r="F157" s="881"/>
      <c r="G157" s="881"/>
      <c r="H157" s="871"/>
    </row>
    <row r="158" spans="2:10" ht="15" x14ac:dyDescent="0.25">
      <c r="B158" s="497" t="s">
        <v>127</v>
      </c>
      <c r="C158" s="498" t="s">
        <v>52</v>
      </c>
      <c r="D158" s="499"/>
      <c r="E158" s="1088"/>
      <c r="F158" s="1088" t="s">
        <v>102</v>
      </c>
      <c r="G158" s="1088" t="s">
        <v>105</v>
      </c>
      <c r="H158" s="1089"/>
    </row>
    <row r="159" spans="2:10" x14ac:dyDescent="0.2">
      <c r="B159" s="335" t="s">
        <v>316</v>
      </c>
      <c r="C159" s="192" t="s">
        <v>602</v>
      </c>
      <c r="D159" s="190" t="s">
        <v>4</v>
      </c>
      <c r="E159" s="924">
        <f>E127+E128</f>
        <v>0.33</v>
      </c>
      <c r="F159" s="927">
        <f>'3. PREÇOS UNITÁRIOS'!D50</f>
        <v>2889.76</v>
      </c>
      <c r="G159" s="927">
        <f t="shared" ref="G159:G162" si="7">E159*F159</f>
        <v>953.62080000000014</v>
      </c>
      <c r="H159" s="871"/>
    </row>
    <row r="160" spans="2:10" x14ac:dyDescent="0.2">
      <c r="B160" s="335" t="s">
        <v>317</v>
      </c>
      <c r="C160" s="192" t="s">
        <v>85</v>
      </c>
      <c r="D160" s="190" t="s">
        <v>4</v>
      </c>
      <c r="E160" s="924">
        <f>E136</f>
        <v>0</v>
      </c>
      <c r="F160" s="927">
        <f>'3. PREÇOS UNITÁRIOS'!D51</f>
        <v>0</v>
      </c>
      <c r="G160" s="927">
        <f t="shared" si="7"/>
        <v>0</v>
      </c>
      <c r="H160" s="871"/>
    </row>
    <row r="161" spans="2:10" x14ac:dyDescent="0.2">
      <c r="B161" s="335" t="s">
        <v>318</v>
      </c>
      <c r="C161" s="192" t="s">
        <v>601</v>
      </c>
      <c r="D161" s="190"/>
      <c r="E161" s="924">
        <f>E159</f>
        <v>0.33</v>
      </c>
      <c r="F161" s="927">
        <f>'3. PREÇOS UNITÁRIOS'!D52</f>
        <v>150</v>
      </c>
      <c r="G161" s="927">
        <f t="shared" si="7"/>
        <v>49.5</v>
      </c>
      <c r="H161" s="871"/>
    </row>
    <row r="162" spans="2:10" x14ac:dyDescent="0.2">
      <c r="B162" s="335" t="s">
        <v>319</v>
      </c>
      <c r="C162" s="192" t="s">
        <v>569</v>
      </c>
      <c r="D162" s="190" t="s">
        <v>4</v>
      </c>
      <c r="E162" s="924">
        <f>E160</f>
        <v>0</v>
      </c>
      <c r="F162" s="927">
        <f>'3. PREÇOS UNITÁRIOS'!D53</f>
        <v>142.69</v>
      </c>
      <c r="G162" s="927">
        <f t="shared" si="7"/>
        <v>0</v>
      </c>
      <c r="H162" s="871"/>
    </row>
    <row r="163" spans="2:10" ht="15" x14ac:dyDescent="0.25">
      <c r="B163" s="551"/>
      <c r="C163" s="552"/>
      <c r="D163" s="552"/>
      <c r="E163" s="1115"/>
      <c r="F163" s="1070" t="s">
        <v>36</v>
      </c>
      <c r="G163" s="1071">
        <f>SUM(G159:G162)</f>
        <v>1003.1208000000001</v>
      </c>
      <c r="H163" s="1116"/>
      <c r="I163" s="476"/>
    </row>
    <row r="164" spans="2:10" ht="15" x14ac:dyDescent="0.25">
      <c r="B164" s="541"/>
      <c r="C164" s="537"/>
      <c r="D164" s="537"/>
      <c r="E164" s="1092"/>
      <c r="F164" s="1074" t="s">
        <v>370</v>
      </c>
      <c r="G164" s="1075">
        <f>G163/12</f>
        <v>83.593400000000017</v>
      </c>
      <c r="H164" s="1093"/>
      <c r="I164" s="476"/>
    </row>
    <row r="165" spans="2:10" x14ac:dyDescent="0.2">
      <c r="B165" s="353"/>
      <c r="C165" s="354"/>
      <c r="D165" s="355"/>
      <c r="E165" s="978"/>
      <c r="F165" s="978"/>
      <c r="G165" s="979"/>
      <c r="H165" s="980"/>
      <c r="I165" s="476"/>
    </row>
    <row r="166" spans="2:10" ht="15" x14ac:dyDescent="0.25">
      <c r="B166" s="497" t="s">
        <v>128</v>
      </c>
      <c r="C166" s="498" t="s">
        <v>53</v>
      </c>
      <c r="D166" s="499"/>
      <c r="E166" s="1088"/>
      <c r="F166" s="1088"/>
      <c r="G166" s="1088"/>
      <c r="H166" s="1089"/>
    </row>
    <row r="167" spans="2:10" x14ac:dyDescent="0.2">
      <c r="B167" s="335" t="s">
        <v>312</v>
      </c>
      <c r="C167" s="192" t="s">
        <v>871</v>
      </c>
      <c r="D167" s="190" t="s">
        <v>311</v>
      </c>
      <c r="E167" s="983">
        <f>'2. DADOS DE ENTRADA'!G269/'2. DADOS DE ENTRADA'!D258</f>
        <v>266.66666666666669</v>
      </c>
      <c r="F167" s="927">
        <f>'3. PREÇOS UNITÁRIOS'!D31</f>
        <v>6.29</v>
      </c>
      <c r="G167" s="927">
        <f t="shared" ref="G167:G168" si="8">E167*F167</f>
        <v>1677.3333333333335</v>
      </c>
      <c r="H167" s="965"/>
      <c r="I167" s="391"/>
      <c r="J167" s="554"/>
    </row>
    <row r="168" spans="2:10" x14ac:dyDescent="0.2">
      <c r="B168" s="335" t="s">
        <v>313</v>
      </c>
      <c r="C168" s="192" t="s">
        <v>57</v>
      </c>
      <c r="D168" s="190" t="s">
        <v>311</v>
      </c>
      <c r="E168" s="983">
        <f>'2. DADOS DE ENTRADA'!G266/'2. DADOS DE ENTRADA'!D255</f>
        <v>0</v>
      </c>
      <c r="F168" s="927">
        <f>'3. PREÇOS UNITÁRIOS'!D32</f>
        <v>0</v>
      </c>
      <c r="G168" s="927">
        <f t="shared" si="8"/>
        <v>0</v>
      </c>
      <c r="H168" s="871"/>
    </row>
    <row r="169" spans="2:10" ht="15" x14ac:dyDescent="0.25">
      <c r="B169" s="541"/>
      <c r="C169" s="537"/>
      <c r="D169" s="537"/>
      <c r="E169" s="1092"/>
      <c r="F169" s="1074" t="s">
        <v>36</v>
      </c>
      <c r="G169" s="1075">
        <f>SUM(G167:G168)</f>
        <v>1677.3333333333335</v>
      </c>
      <c r="H169" s="1093"/>
      <c r="I169" s="391"/>
    </row>
    <row r="170" spans="2:10" s="192" customFormat="1" ht="15" x14ac:dyDescent="0.25">
      <c r="B170" s="401"/>
      <c r="C170" s="201"/>
      <c r="D170" s="201"/>
      <c r="E170" s="984"/>
      <c r="F170" s="861"/>
      <c r="G170" s="861"/>
      <c r="H170" s="985"/>
      <c r="I170" s="391"/>
    </row>
    <row r="171" spans="2:10" ht="15" x14ac:dyDescent="0.25">
      <c r="B171" s="497" t="s">
        <v>129</v>
      </c>
      <c r="C171" s="498" t="s">
        <v>655</v>
      </c>
      <c r="D171" s="499"/>
      <c r="E171" s="1088"/>
      <c r="F171" s="1088"/>
      <c r="G171" s="1088"/>
      <c r="H171" s="1089"/>
    </row>
    <row r="172" spans="2:10" x14ac:dyDescent="0.2">
      <c r="B172" s="335" t="s">
        <v>321</v>
      </c>
      <c r="C172" s="192" t="s">
        <v>58</v>
      </c>
      <c r="D172" s="190" t="s">
        <v>1</v>
      </c>
      <c r="E172" s="857">
        <v>1.2</v>
      </c>
      <c r="F172" s="964">
        <f>SUM(F144:F149)</f>
        <v>104457.69259398</v>
      </c>
      <c r="G172" s="901">
        <f>(E172/100)*F172</f>
        <v>1253.4923111277601</v>
      </c>
      <c r="H172" s="872"/>
    </row>
    <row r="173" spans="2:10" x14ac:dyDescent="0.2">
      <c r="B173" s="335" t="s">
        <v>322</v>
      </c>
      <c r="C173" s="192" t="s">
        <v>14</v>
      </c>
      <c r="D173" s="190" t="s">
        <v>1</v>
      </c>
      <c r="E173" s="857">
        <v>1.2</v>
      </c>
      <c r="F173" s="964">
        <f>SUM(F153:F153)</f>
        <v>0</v>
      </c>
      <c r="G173" s="901">
        <f>(E173/100)*F173</f>
        <v>0</v>
      </c>
      <c r="H173" s="965"/>
      <c r="I173" s="391"/>
    </row>
    <row r="174" spans="2:10" x14ac:dyDescent="0.2">
      <c r="B174" s="335" t="s">
        <v>666</v>
      </c>
      <c r="C174" s="192" t="s">
        <v>660</v>
      </c>
      <c r="D174" s="190" t="s">
        <v>4</v>
      </c>
      <c r="E174" s="995">
        <f>'2. DADOS DE ENTRADA'!I242+'2. DADOS DE ENTRADA'!I243</f>
        <v>1.98</v>
      </c>
      <c r="F174" s="964">
        <f>'3. PREÇOS UNITÁRIOS'!D64</f>
        <v>330</v>
      </c>
      <c r="G174" s="901">
        <f>F174*E174</f>
        <v>653.4</v>
      </c>
      <c r="H174" s="965"/>
      <c r="I174" s="391"/>
    </row>
    <row r="175" spans="2:10" x14ac:dyDescent="0.2">
      <c r="B175" s="335" t="s">
        <v>667</v>
      </c>
      <c r="C175" s="192" t="s">
        <v>664</v>
      </c>
      <c r="D175" s="190" t="s">
        <v>4</v>
      </c>
      <c r="E175" s="995">
        <f>'2. DADOS DE ENTRADA'!I244</f>
        <v>0</v>
      </c>
      <c r="F175" s="964">
        <f>'3. PREÇOS UNITÁRIOS'!D66</f>
        <v>70</v>
      </c>
      <c r="G175" s="901">
        <f>F175*E175</f>
        <v>0</v>
      </c>
      <c r="H175" s="965"/>
      <c r="I175" s="391"/>
    </row>
    <row r="176" spans="2:10" ht="15" x14ac:dyDescent="0.25">
      <c r="B176" s="541"/>
      <c r="C176" s="537"/>
      <c r="D176" s="537"/>
      <c r="E176" s="1092"/>
      <c r="F176" s="1074" t="s">
        <v>36</v>
      </c>
      <c r="G176" s="1075">
        <f>SUM(G172:G175)</f>
        <v>1906.89231112776</v>
      </c>
      <c r="H176" s="1093"/>
      <c r="I176" s="391"/>
    </row>
    <row r="177" spans="2:9" x14ac:dyDescent="0.2">
      <c r="B177" s="335"/>
      <c r="D177" s="190"/>
      <c r="E177" s="857"/>
      <c r="F177" s="964"/>
      <c r="G177" s="901"/>
      <c r="H177" s="871"/>
    </row>
    <row r="178" spans="2:9" ht="15" x14ac:dyDescent="0.25">
      <c r="B178" s="497" t="s">
        <v>130</v>
      </c>
      <c r="C178" s="498" t="s">
        <v>59</v>
      </c>
      <c r="D178" s="499"/>
      <c r="E178" s="1088"/>
      <c r="F178" s="1088"/>
      <c r="G178" s="1088"/>
      <c r="H178" s="1089"/>
    </row>
    <row r="179" spans="2:9" ht="14.25" customHeight="1" x14ac:dyDescent="0.25">
      <c r="B179" s="497" t="s">
        <v>339</v>
      </c>
      <c r="C179" s="498" t="s">
        <v>606</v>
      </c>
      <c r="D179" s="499"/>
      <c r="E179" s="1088"/>
      <c r="F179" s="1088"/>
      <c r="G179" s="1088"/>
      <c r="H179" s="1089"/>
    </row>
    <row r="180" spans="2:9" x14ac:dyDescent="0.2">
      <c r="B180" s="335" t="s">
        <v>342</v>
      </c>
      <c r="C180" s="393" t="s">
        <v>60</v>
      </c>
      <c r="D180" s="394" t="s">
        <v>3</v>
      </c>
      <c r="E180" s="970">
        <f>'2. DADOS DE ENTRADA'!E253</f>
        <v>60000</v>
      </c>
      <c r="F180" s="992"/>
      <c r="G180" s="992"/>
      <c r="H180" s="971"/>
    </row>
    <row r="181" spans="2:9" x14ac:dyDescent="0.2">
      <c r="B181" s="335" t="s">
        <v>343</v>
      </c>
      <c r="C181" s="189" t="s">
        <v>61</v>
      </c>
      <c r="D181" s="193" t="str">
        <f>D180</f>
        <v>Km</v>
      </c>
      <c r="E181" s="972">
        <f>'2. DADOS DE ENTRADA'!G269</f>
        <v>800</v>
      </c>
      <c r="F181" s="993"/>
      <c r="G181" s="993"/>
      <c r="H181" s="884"/>
    </row>
    <row r="182" spans="2:9" x14ac:dyDescent="0.2">
      <c r="B182" s="335" t="s">
        <v>344</v>
      </c>
      <c r="C182" s="192" t="s">
        <v>86</v>
      </c>
      <c r="D182" s="190" t="s">
        <v>4</v>
      </c>
      <c r="E182" s="924">
        <f>'2. DADOS DE ENTRADA'!F257</f>
        <v>2</v>
      </c>
      <c r="F182" s="901">
        <f>'3. PREÇOS UNITÁRIOS'!D56</f>
        <v>2240</v>
      </c>
      <c r="G182" s="901">
        <f>E182*F182</f>
        <v>4480</v>
      </c>
      <c r="H182" s="884"/>
    </row>
    <row r="183" spans="2:9" x14ac:dyDescent="0.2">
      <c r="B183" s="335" t="s">
        <v>345</v>
      </c>
      <c r="C183" s="192" t="s">
        <v>62</v>
      </c>
      <c r="D183" s="190" t="s">
        <v>4</v>
      </c>
      <c r="E183" s="924">
        <f>'2. DADOS DE ENTRADA'!G257</f>
        <v>2</v>
      </c>
      <c r="F183" s="901">
        <f>'3. PREÇOS UNITÁRIOS'!D57</f>
        <v>240</v>
      </c>
      <c r="G183" s="901">
        <f>E183*F183</f>
        <v>480</v>
      </c>
      <c r="H183" s="884"/>
    </row>
    <row r="184" spans="2:9" x14ac:dyDescent="0.2">
      <c r="B184" s="335" t="s">
        <v>346</v>
      </c>
      <c r="C184" s="192" t="s">
        <v>63</v>
      </c>
      <c r="D184" s="190" t="s">
        <v>4</v>
      </c>
      <c r="E184" s="924">
        <f>'2. DADOS DE ENTRADA'!H257</f>
        <v>2</v>
      </c>
      <c r="F184" s="901">
        <f>'3. PREÇOS UNITÁRIOS'!D58</f>
        <v>120</v>
      </c>
      <c r="G184" s="901">
        <f>E184*F184</f>
        <v>240</v>
      </c>
      <c r="H184" s="884"/>
    </row>
    <row r="185" spans="2:9" x14ac:dyDescent="0.2">
      <c r="B185" s="335" t="s">
        <v>347</v>
      </c>
      <c r="C185" s="192" t="s">
        <v>64</v>
      </c>
      <c r="D185" s="190" t="s">
        <v>4</v>
      </c>
      <c r="E185" s="924">
        <f>'2. DADOS DE ENTRADA'!I257</f>
        <v>4</v>
      </c>
      <c r="F185" s="901">
        <f>'3. PREÇOS UNITÁRIOS'!D59</f>
        <v>625</v>
      </c>
      <c r="G185" s="901">
        <f>E185*F185</f>
        <v>2500</v>
      </c>
      <c r="H185" s="884"/>
    </row>
    <row r="186" spans="2:9" x14ac:dyDescent="0.2">
      <c r="B186" s="335" t="s">
        <v>348</v>
      </c>
      <c r="C186" s="189" t="s">
        <v>65</v>
      </c>
      <c r="D186" s="193" t="s">
        <v>4</v>
      </c>
      <c r="E186" s="972">
        <f>'2. DADOS DE ENTRADA'!J257</f>
        <v>6</v>
      </c>
      <c r="F186" s="994">
        <f>'3. PREÇOS UNITÁRIOS'!D60</f>
        <v>250</v>
      </c>
      <c r="G186" s="994">
        <f>E186*F186</f>
        <v>1500</v>
      </c>
      <c r="H186" s="884"/>
    </row>
    <row r="187" spans="2:9" ht="15" x14ac:dyDescent="0.25">
      <c r="B187" s="551"/>
      <c r="C187" s="552"/>
      <c r="D187" s="552"/>
      <c r="E187" s="1115"/>
      <c r="F187" s="1070" t="s">
        <v>36</v>
      </c>
      <c r="G187" s="1071">
        <f>SUM(G182:G186)</f>
        <v>9200</v>
      </c>
      <c r="H187" s="1116"/>
      <c r="I187" s="357"/>
    </row>
    <row r="188" spans="2:9" ht="15" x14ac:dyDescent="0.25">
      <c r="B188" s="541"/>
      <c r="C188" s="537"/>
      <c r="D188" s="537"/>
      <c r="E188" s="1092"/>
      <c r="F188" s="1074" t="s">
        <v>370</v>
      </c>
      <c r="G188" s="1075">
        <f>(G187/E180)*E181</f>
        <v>122.66666666666666</v>
      </c>
      <c r="H188" s="1093"/>
      <c r="I188" s="357"/>
    </row>
    <row r="189" spans="2:9" s="192" customFormat="1" ht="15" x14ac:dyDescent="0.25">
      <c r="B189" s="378"/>
      <c r="C189" s="379"/>
      <c r="D189" s="379"/>
      <c r="E189" s="945"/>
      <c r="F189" s="877"/>
      <c r="G189" s="861"/>
      <c r="H189" s="905"/>
      <c r="I189" s="357"/>
    </row>
    <row r="190" spans="2:9" ht="15" x14ac:dyDescent="0.25">
      <c r="B190" s="497" t="s">
        <v>340</v>
      </c>
      <c r="C190" s="498" t="s">
        <v>67</v>
      </c>
      <c r="D190" s="499"/>
      <c r="E190" s="1088"/>
      <c r="F190" s="1088"/>
      <c r="G190" s="1088"/>
      <c r="H190" s="1089"/>
      <c r="I190" s="357"/>
    </row>
    <row r="191" spans="2:9" x14ac:dyDescent="0.2">
      <c r="B191" s="345" t="s">
        <v>349</v>
      </c>
      <c r="C191" s="192" t="s">
        <v>60</v>
      </c>
      <c r="D191" s="190" t="s">
        <v>3</v>
      </c>
      <c r="E191" s="924">
        <f>'2. DADOS DE ENTRADA'!E255</f>
        <v>60000</v>
      </c>
      <c r="F191" s="881"/>
      <c r="G191" s="881"/>
      <c r="H191" s="871"/>
    </row>
    <row r="192" spans="2:9" x14ac:dyDescent="0.2">
      <c r="B192" s="345" t="s">
        <v>350</v>
      </c>
      <c r="C192" s="192" t="s">
        <v>68</v>
      </c>
      <c r="D192" s="190" t="str">
        <f>D191</f>
        <v>Km</v>
      </c>
      <c r="E192" s="924">
        <f>'2. DADOS DE ENTRADA'!G266</f>
        <v>0</v>
      </c>
      <c r="F192" s="881"/>
      <c r="G192" s="881"/>
      <c r="H192" s="871"/>
    </row>
    <row r="193" spans="1:15" x14ac:dyDescent="0.2">
      <c r="B193" s="345" t="s">
        <v>351</v>
      </c>
      <c r="C193" s="192" t="s">
        <v>120</v>
      </c>
      <c r="D193" s="190" t="s">
        <v>4</v>
      </c>
      <c r="E193" s="924">
        <f>'2. DADOS DE ENTRADA'!F255</f>
        <v>0</v>
      </c>
      <c r="F193" s="964">
        <f>'3. PREÇOS UNITÁRIOS'!D62</f>
        <v>0</v>
      </c>
      <c r="G193" s="964">
        <f>E193*F193</f>
        <v>0</v>
      </c>
      <c r="H193" s="871"/>
    </row>
    <row r="194" spans="1:15" ht="15" x14ac:dyDescent="0.25">
      <c r="B194" s="551"/>
      <c r="C194" s="552"/>
      <c r="D194" s="552"/>
      <c r="E194" s="1115"/>
      <c r="F194" s="1070" t="s">
        <v>36</v>
      </c>
      <c r="G194" s="1071">
        <f>SUM(G193)</f>
        <v>0</v>
      </c>
      <c r="H194" s="1120"/>
      <c r="I194" s="357"/>
    </row>
    <row r="195" spans="1:15" ht="15" x14ac:dyDescent="0.25">
      <c r="B195" s="541"/>
      <c r="C195" s="537"/>
      <c r="D195" s="537"/>
      <c r="E195" s="1092"/>
      <c r="F195" s="1074" t="s">
        <v>370</v>
      </c>
      <c r="G195" s="1075">
        <f>(G194/E191)*E192</f>
        <v>0</v>
      </c>
      <c r="H195" s="1093"/>
      <c r="I195" s="357"/>
    </row>
    <row r="196" spans="1:15" x14ac:dyDescent="0.2">
      <c r="B196" s="335"/>
      <c r="C196" s="189"/>
      <c r="D196" s="189"/>
      <c r="E196" s="993"/>
      <c r="F196" s="993"/>
      <c r="G196" s="993"/>
      <c r="H196" s="884"/>
      <c r="I196" s="357"/>
    </row>
    <row r="197" spans="1:15" ht="15" x14ac:dyDescent="0.25">
      <c r="B197" s="512" t="s">
        <v>341</v>
      </c>
      <c r="C197" s="139" t="s">
        <v>621</v>
      </c>
      <c r="D197" s="513"/>
      <c r="E197" s="1121"/>
      <c r="F197" s="1121"/>
      <c r="G197" s="1121"/>
      <c r="H197" s="1122"/>
      <c r="I197" s="357"/>
    </row>
    <row r="198" spans="1:15" x14ac:dyDescent="0.2">
      <c r="B198" s="362" t="s">
        <v>392</v>
      </c>
      <c r="C198" s="363" t="s">
        <v>621</v>
      </c>
      <c r="D198" s="364" t="s">
        <v>1</v>
      </c>
      <c r="E198" s="997">
        <v>0.1</v>
      </c>
      <c r="F198" s="926">
        <f>G169</f>
        <v>1677.3333333333335</v>
      </c>
      <c r="G198" s="926">
        <f>E198*F198</f>
        <v>167.73333333333335</v>
      </c>
      <c r="H198" s="998"/>
      <c r="I198" s="357"/>
    </row>
    <row r="199" spans="1:15" ht="15" x14ac:dyDescent="0.25">
      <c r="B199" s="551"/>
      <c r="C199" s="552"/>
      <c r="D199" s="552"/>
      <c r="E199" s="1115"/>
      <c r="F199" s="1070" t="s">
        <v>36</v>
      </c>
      <c r="G199" s="1071">
        <f>SUM(G198)</f>
        <v>167.73333333333335</v>
      </c>
      <c r="H199" s="1120"/>
    </row>
    <row r="200" spans="1:15" s="192" customFormat="1" ht="15" x14ac:dyDescent="0.25">
      <c r="B200" s="551"/>
      <c r="C200" s="552"/>
      <c r="D200" s="552"/>
      <c r="E200" s="1115"/>
      <c r="F200" s="1070" t="s">
        <v>370</v>
      </c>
      <c r="G200" s="1071">
        <f>G199</f>
        <v>167.73333333333335</v>
      </c>
      <c r="H200" s="1120"/>
      <c r="J200" s="189"/>
      <c r="K200" s="189"/>
      <c r="L200" s="189"/>
      <c r="M200" s="189"/>
      <c r="N200" s="189"/>
      <c r="O200" s="189"/>
    </row>
    <row r="201" spans="1:15" s="192" customFormat="1" ht="15" x14ac:dyDescent="0.25">
      <c r="B201" s="555"/>
      <c r="C201" s="382"/>
      <c r="D201" s="382"/>
      <c r="E201" s="1117"/>
      <c r="F201" s="882"/>
      <c r="G201" s="1118"/>
      <c r="H201" s="1141"/>
      <c r="J201" s="189"/>
      <c r="K201" s="189"/>
      <c r="L201" s="189"/>
      <c r="M201" s="189"/>
      <c r="N201" s="189"/>
      <c r="O201" s="189"/>
    </row>
    <row r="202" spans="1:15" s="192" customFormat="1" ht="15" x14ac:dyDescent="0.2">
      <c r="B202" s="505"/>
      <c r="C202" s="506"/>
      <c r="D202" s="506"/>
      <c r="E202" s="1100" t="s">
        <v>570</v>
      </c>
      <c r="F202" s="1100"/>
      <c r="G202" s="1100">
        <f>G200+G195+G188+G176+G169+G164+G156+G154+G150</f>
        <v>5632.8499528969169</v>
      </c>
      <c r="H202" s="1101"/>
      <c r="J202" s="189"/>
      <c r="K202" s="189"/>
      <c r="L202" s="189"/>
      <c r="M202" s="189"/>
      <c r="N202" s="189"/>
      <c r="O202" s="189"/>
    </row>
    <row r="203" spans="1:15" ht="15" x14ac:dyDescent="0.2">
      <c r="A203" s="189"/>
      <c r="B203" s="562"/>
      <c r="C203" s="563"/>
      <c r="D203" s="563"/>
      <c r="E203" s="1142"/>
      <c r="F203" s="1142"/>
      <c r="G203" s="1142"/>
      <c r="H203" s="1143"/>
      <c r="I203" s="189"/>
    </row>
    <row r="204" spans="1:15" s="192" customFormat="1" ht="15" x14ac:dyDescent="0.2">
      <c r="B204" s="418" t="s">
        <v>677</v>
      </c>
      <c r="C204" s="161" t="s">
        <v>678</v>
      </c>
      <c r="D204" s="160"/>
      <c r="E204" s="1039"/>
      <c r="F204" s="1039"/>
      <c r="G204" s="1039"/>
      <c r="H204" s="1040"/>
      <c r="J204" s="189"/>
      <c r="K204" s="189"/>
      <c r="L204" s="189"/>
      <c r="M204" s="189"/>
      <c r="N204" s="189"/>
      <c r="O204" s="189"/>
    </row>
    <row r="205" spans="1:15" s="192" customFormat="1" ht="15" x14ac:dyDescent="0.2">
      <c r="B205" s="284"/>
      <c r="C205" s="285"/>
      <c r="D205" s="286"/>
      <c r="E205" s="895"/>
      <c r="F205" s="895"/>
      <c r="G205" s="895"/>
      <c r="H205" s="896"/>
      <c r="J205" s="189"/>
      <c r="K205" s="189"/>
      <c r="L205" s="189"/>
      <c r="M205" s="189"/>
      <c r="N205" s="189"/>
      <c r="O205" s="189"/>
    </row>
    <row r="206" spans="1:15" s="192" customFormat="1" ht="15" x14ac:dyDescent="0.2">
      <c r="B206" s="420" t="s">
        <v>7</v>
      </c>
      <c r="C206" s="421" t="s">
        <v>8</v>
      </c>
      <c r="D206" s="422" t="s">
        <v>9</v>
      </c>
      <c r="E206" s="1041" t="s">
        <v>10</v>
      </c>
      <c r="F206" s="1041" t="s">
        <v>11</v>
      </c>
      <c r="G206" s="1041" t="s">
        <v>12</v>
      </c>
      <c r="H206" s="1042"/>
      <c r="J206" s="189"/>
      <c r="K206" s="189"/>
      <c r="L206" s="189"/>
      <c r="M206" s="189"/>
      <c r="N206" s="189"/>
      <c r="O206" s="189"/>
    </row>
    <row r="207" spans="1:15" s="192" customFormat="1" ht="15" x14ac:dyDescent="0.25">
      <c r="B207" s="497" t="s">
        <v>100</v>
      </c>
      <c r="C207" s="498" t="s">
        <v>610</v>
      </c>
      <c r="D207" s="499"/>
      <c r="E207" s="1088"/>
      <c r="F207" s="1088"/>
      <c r="G207" s="1088"/>
      <c r="H207" s="1089"/>
      <c r="J207" s="189"/>
      <c r="K207" s="189"/>
      <c r="L207" s="189"/>
      <c r="M207" s="189"/>
      <c r="N207" s="189"/>
      <c r="O207" s="189"/>
    </row>
    <row r="208" spans="1:15" s="192" customFormat="1" x14ac:dyDescent="0.2">
      <c r="B208" s="406" t="s">
        <v>703</v>
      </c>
      <c r="C208" s="192" t="s">
        <v>680</v>
      </c>
      <c r="D208" s="193" t="s">
        <v>4</v>
      </c>
      <c r="E208" s="1144">
        <f>'2. DADOS DE ENTRADA'!I232+'2. DADOS DE ENTRADA'!I233</f>
        <v>0.33</v>
      </c>
      <c r="F208" s="955">
        <f>'3. PREÇOS UNITÁRIOS'!D70</f>
        <v>8.3333333333333339</v>
      </c>
      <c r="G208" s="955">
        <f t="shared" ref="G208:G209" si="9">E208*F208</f>
        <v>2.7500000000000004</v>
      </c>
      <c r="H208" s="884"/>
      <c r="J208" s="189"/>
      <c r="K208" s="189"/>
      <c r="L208" s="189"/>
      <c r="M208" s="189"/>
      <c r="N208" s="189"/>
      <c r="O208" s="189"/>
    </row>
    <row r="209" spans="2:15" s="192" customFormat="1" ht="42.75" x14ac:dyDescent="0.2">
      <c r="B209" s="406" t="s">
        <v>704</v>
      </c>
      <c r="C209" s="214" t="s">
        <v>735</v>
      </c>
      <c r="D209" s="203" t="s">
        <v>681</v>
      </c>
      <c r="E209" s="999">
        <f>E208</f>
        <v>0.33</v>
      </c>
      <c r="F209" s="958">
        <f>'3. PREÇOS UNITÁRIOS'!D71</f>
        <v>69.900000000000006</v>
      </c>
      <c r="G209" s="958">
        <f t="shared" si="9"/>
        <v>23.067000000000004</v>
      </c>
      <c r="H209" s="884"/>
      <c r="J209" s="189"/>
      <c r="K209" s="189"/>
      <c r="L209" s="189"/>
      <c r="M209" s="189"/>
      <c r="N209" s="189"/>
      <c r="O209" s="189"/>
    </row>
    <row r="210" spans="2:15" s="192" customFormat="1" ht="15" x14ac:dyDescent="0.25">
      <c r="B210" s="541"/>
      <c r="C210" s="537"/>
      <c r="D210" s="537"/>
      <c r="E210" s="1092"/>
      <c r="F210" s="1074" t="s">
        <v>36</v>
      </c>
      <c r="G210" s="1075">
        <f>SUM(G208:G209)</f>
        <v>25.817000000000004</v>
      </c>
      <c r="H210" s="1093"/>
      <c r="J210" s="189"/>
      <c r="K210" s="189"/>
      <c r="L210" s="189"/>
      <c r="M210" s="189"/>
      <c r="N210" s="189"/>
      <c r="O210" s="189"/>
    </row>
    <row r="211" spans="2:15" s="192" customFormat="1" ht="15" x14ac:dyDescent="0.2">
      <c r="B211" s="448"/>
      <c r="C211" s="441"/>
      <c r="D211" s="441"/>
      <c r="E211" s="1048" t="s">
        <v>726</v>
      </c>
      <c r="F211" s="1048"/>
      <c r="G211" s="1048">
        <f>G210</f>
        <v>25.817000000000004</v>
      </c>
      <c r="H211" s="1099"/>
      <c r="J211" s="189"/>
      <c r="K211" s="189"/>
      <c r="L211" s="189"/>
      <c r="M211" s="189"/>
      <c r="N211" s="189"/>
      <c r="O211" s="189"/>
    </row>
    <row r="212" spans="2:15" s="192" customFormat="1" ht="15" x14ac:dyDescent="0.25">
      <c r="B212" s="555"/>
      <c r="C212" s="382"/>
      <c r="D212" s="382"/>
      <c r="E212" s="1117"/>
      <c r="F212" s="882"/>
      <c r="G212" s="1118"/>
      <c r="H212" s="1141"/>
      <c r="J212" s="189"/>
      <c r="K212" s="189"/>
      <c r="L212" s="189"/>
      <c r="M212" s="189"/>
      <c r="N212" s="189"/>
      <c r="O212" s="189"/>
    </row>
    <row r="213" spans="2:15" s="192" customFormat="1" ht="15" x14ac:dyDescent="0.2">
      <c r="B213" s="478" t="s">
        <v>537</v>
      </c>
      <c r="C213" s="479" t="s">
        <v>534</v>
      </c>
      <c r="D213" s="480"/>
      <c r="E213" s="1102"/>
      <c r="F213" s="1102"/>
      <c r="G213" s="1102"/>
      <c r="H213" s="1103"/>
      <c r="J213" s="189"/>
      <c r="K213" s="189"/>
      <c r="L213" s="189"/>
      <c r="M213" s="189"/>
      <c r="N213" s="189"/>
      <c r="O213" s="189"/>
    </row>
    <row r="214" spans="2:15" s="192" customFormat="1" x14ac:dyDescent="0.2">
      <c r="B214" s="758" t="s">
        <v>787</v>
      </c>
      <c r="C214" s="759" t="s">
        <v>34</v>
      </c>
      <c r="D214" s="760"/>
      <c r="E214" s="1043"/>
      <c r="F214" s="1043"/>
      <c r="G214" s="1043"/>
      <c r="H214" s="1060">
        <f>G43</f>
        <v>1148.0596215046633</v>
      </c>
      <c r="J214" s="189"/>
      <c r="K214" s="189"/>
      <c r="L214" s="189"/>
      <c r="M214" s="189"/>
      <c r="N214" s="189"/>
      <c r="O214" s="189"/>
    </row>
    <row r="215" spans="2:15" s="192" customFormat="1" x14ac:dyDescent="0.2">
      <c r="B215" s="758" t="s">
        <v>788</v>
      </c>
      <c r="C215" s="759" t="s">
        <v>37</v>
      </c>
      <c r="D215" s="760"/>
      <c r="E215" s="1043"/>
      <c r="F215" s="1043"/>
      <c r="G215" s="1043"/>
      <c r="H215" s="1060">
        <f>G81</f>
        <v>411.76660355624801</v>
      </c>
      <c r="J215" s="189"/>
      <c r="K215" s="189"/>
      <c r="L215" s="189"/>
      <c r="M215" s="189"/>
      <c r="N215" s="189"/>
      <c r="O215" s="189"/>
    </row>
    <row r="216" spans="2:15" s="192" customFormat="1" x14ac:dyDescent="0.2">
      <c r="B216" s="758" t="s">
        <v>789</v>
      </c>
      <c r="C216" s="759" t="s">
        <v>724</v>
      </c>
      <c r="D216" s="760"/>
      <c r="E216" s="1043"/>
      <c r="F216" s="1043"/>
      <c r="G216" s="1043"/>
      <c r="H216" s="1060">
        <f>G119</f>
        <v>27.088352481666664</v>
      </c>
      <c r="J216" s="189"/>
      <c r="K216" s="189"/>
      <c r="L216" s="189"/>
      <c r="M216" s="189"/>
      <c r="N216" s="189"/>
      <c r="O216" s="189"/>
    </row>
    <row r="217" spans="2:15" s="192" customFormat="1" x14ac:dyDescent="0.2">
      <c r="B217" s="758" t="s">
        <v>790</v>
      </c>
      <c r="C217" s="759" t="s">
        <v>536</v>
      </c>
      <c r="D217" s="760"/>
      <c r="E217" s="1043"/>
      <c r="F217" s="1043"/>
      <c r="G217" s="1043"/>
      <c r="H217" s="1060">
        <f>G202</f>
        <v>5632.8499528969169</v>
      </c>
      <c r="J217" s="189"/>
      <c r="K217" s="189"/>
      <c r="L217" s="189"/>
      <c r="M217" s="189"/>
      <c r="N217" s="189"/>
      <c r="O217" s="189"/>
    </row>
    <row r="218" spans="2:15" s="192" customFormat="1" x14ac:dyDescent="0.2">
      <c r="B218" s="758" t="s">
        <v>791</v>
      </c>
      <c r="C218" s="759" t="s">
        <v>759</v>
      </c>
      <c r="D218" s="760"/>
      <c r="E218" s="1043"/>
      <c r="F218" s="1043"/>
      <c r="G218" s="1043"/>
      <c r="H218" s="1060">
        <f>G211</f>
        <v>25.817000000000004</v>
      </c>
      <c r="J218" s="189"/>
      <c r="K218" s="189"/>
      <c r="L218" s="189"/>
      <c r="M218" s="189"/>
      <c r="N218" s="189"/>
      <c r="O218" s="189"/>
    </row>
    <row r="219" spans="2:15" s="192" customFormat="1" ht="15" x14ac:dyDescent="0.2">
      <c r="B219" s="515"/>
      <c r="C219" s="516" t="s">
        <v>535</v>
      </c>
      <c r="D219" s="516"/>
      <c r="E219" s="1123"/>
      <c r="F219" s="1123"/>
      <c r="G219" s="1100"/>
      <c r="H219" s="1101">
        <f>SUM(H214:H218)</f>
        <v>7245.5815304394946</v>
      </c>
      <c r="J219" s="189"/>
      <c r="K219" s="189"/>
      <c r="L219" s="189"/>
      <c r="M219" s="189"/>
      <c r="N219" s="189"/>
      <c r="O219" s="189"/>
    </row>
    <row r="220" spans="2:15" x14ac:dyDescent="0.2">
      <c r="B220" s="335"/>
      <c r="E220" s="881"/>
      <c r="F220" s="881"/>
      <c r="G220" s="881"/>
      <c r="H220" s="871"/>
    </row>
    <row r="221" spans="2:15" s="192" customFormat="1" ht="15" x14ac:dyDescent="0.2">
      <c r="B221" s="478" t="s">
        <v>541</v>
      </c>
      <c r="C221" s="479" t="s">
        <v>538</v>
      </c>
      <c r="D221" s="480"/>
      <c r="E221" s="1102"/>
      <c r="F221" s="1102"/>
      <c r="G221" s="1102"/>
      <c r="H221" s="1103"/>
      <c r="J221" s="189"/>
      <c r="K221" s="189"/>
      <c r="L221" s="189"/>
      <c r="M221" s="189"/>
      <c r="N221" s="189"/>
      <c r="O221" s="189"/>
    </row>
    <row r="222" spans="2:15" s="192" customFormat="1" ht="15" x14ac:dyDescent="0.2">
      <c r="B222" s="284"/>
      <c r="C222" s="285"/>
      <c r="D222" s="286"/>
      <c r="E222" s="895"/>
      <c r="F222" s="895"/>
      <c r="G222" s="895"/>
      <c r="H222" s="896"/>
    </row>
    <row r="223" spans="2:15" s="192" customFormat="1" ht="15" x14ac:dyDescent="0.2">
      <c r="B223" s="420" t="s">
        <v>7</v>
      </c>
      <c r="C223" s="421" t="s">
        <v>8</v>
      </c>
      <c r="D223" s="422"/>
      <c r="E223" s="1041"/>
      <c r="F223" s="1041" t="s">
        <v>12</v>
      </c>
      <c r="G223" s="1041"/>
      <c r="H223" s="1042"/>
      <c r="J223" s="189"/>
      <c r="K223" s="189"/>
      <c r="L223" s="189"/>
      <c r="M223" s="189"/>
      <c r="N223" s="189"/>
      <c r="O223" s="189"/>
    </row>
    <row r="224" spans="2:15" s="192" customFormat="1" ht="15" x14ac:dyDescent="0.25">
      <c r="B224" s="517" t="s">
        <v>104</v>
      </c>
      <c r="C224" s="518" t="s">
        <v>539</v>
      </c>
      <c r="D224" s="519"/>
      <c r="E224" s="1124"/>
      <c r="F224" s="1125">
        <v>0</v>
      </c>
      <c r="G224" s="1124"/>
      <c r="H224" s="1126"/>
      <c r="J224" s="189"/>
      <c r="K224" s="189"/>
      <c r="L224" s="189"/>
      <c r="M224" s="189"/>
      <c r="N224" s="189"/>
      <c r="O224" s="189"/>
    </row>
    <row r="225" spans="2:15" s="192" customFormat="1" ht="15" x14ac:dyDescent="0.2">
      <c r="B225" s="501"/>
      <c r="C225" s="502" t="s">
        <v>540</v>
      </c>
      <c r="D225" s="502"/>
      <c r="E225" s="1095"/>
      <c r="F225" s="1048">
        <f>SUM(F224:F224)</f>
        <v>0</v>
      </c>
      <c r="G225" s="1048"/>
      <c r="H225" s="1099"/>
      <c r="J225" s="189"/>
      <c r="K225" s="189"/>
      <c r="L225" s="189"/>
      <c r="M225" s="189"/>
      <c r="N225" s="189"/>
      <c r="O225" s="189"/>
    </row>
    <row r="226" spans="2:15" s="192" customFormat="1" ht="15" x14ac:dyDescent="0.2">
      <c r="B226" s="515"/>
      <c r="C226" s="516" t="s">
        <v>567</v>
      </c>
      <c r="D226" s="516"/>
      <c r="E226" s="1123"/>
      <c r="F226" s="1100">
        <f>F225+H219</f>
        <v>7245.5815304394946</v>
      </c>
      <c r="G226" s="1100"/>
      <c r="H226" s="1101"/>
      <c r="J226" s="189"/>
      <c r="K226" s="189"/>
      <c r="L226" s="189"/>
      <c r="M226" s="189"/>
      <c r="N226" s="189"/>
      <c r="O226" s="189"/>
    </row>
    <row r="227" spans="2:15" s="192" customFormat="1" x14ac:dyDescent="0.2">
      <c r="B227" s="335"/>
      <c r="C227" s="189"/>
      <c r="D227" s="193"/>
      <c r="E227" s="993"/>
      <c r="F227" s="993"/>
      <c r="G227" s="881"/>
      <c r="H227" s="871"/>
      <c r="J227" s="189"/>
      <c r="K227" s="189"/>
      <c r="L227" s="189"/>
      <c r="M227" s="189"/>
      <c r="N227" s="189"/>
      <c r="O227" s="189"/>
    </row>
    <row r="228" spans="2:15" s="192" customFormat="1" ht="15" x14ac:dyDescent="0.2">
      <c r="B228" s="478" t="s">
        <v>711</v>
      </c>
      <c r="C228" s="479" t="s">
        <v>542</v>
      </c>
      <c r="D228" s="480"/>
      <c r="E228" s="1102"/>
      <c r="F228" s="1103"/>
      <c r="G228" s="1145"/>
      <c r="H228" s="1146"/>
      <c r="J228" s="189"/>
      <c r="K228" s="189"/>
      <c r="L228" s="189"/>
      <c r="M228" s="189"/>
      <c r="N228" s="189"/>
      <c r="O228" s="189"/>
    </row>
    <row r="229" spans="2:15" s="192" customFormat="1" ht="15" x14ac:dyDescent="0.25">
      <c r="B229" s="517" t="s">
        <v>7</v>
      </c>
      <c r="C229" s="518" t="s">
        <v>8</v>
      </c>
      <c r="D229" s="519" t="s">
        <v>9</v>
      </c>
      <c r="E229" s="1124" t="s">
        <v>69</v>
      </c>
      <c r="F229" s="1127" t="s">
        <v>12</v>
      </c>
      <c r="G229" s="881"/>
      <c r="H229" s="871"/>
      <c r="J229" s="189"/>
      <c r="K229" s="189"/>
      <c r="L229" s="189"/>
      <c r="M229" s="189"/>
      <c r="N229" s="189"/>
      <c r="O229" s="189"/>
    </row>
    <row r="230" spans="2:15" s="192" customFormat="1" x14ac:dyDescent="0.2">
      <c r="B230" s="408" t="s">
        <v>273</v>
      </c>
      <c r="C230" s="409" t="s">
        <v>543</v>
      </c>
      <c r="D230" s="193" t="s">
        <v>1</v>
      </c>
      <c r="E230" s="1022">
        <v>4.93</v>
      </c>
      <c r="F230" s="1128"/>
      <c r="G230" s="881"/>
      <c r="H230" s="871"/>
      <c r="J230" s="189"/>
      <c r="K230" s="189"/>
      <c r="L230" s="189"/>
      <c r="M230" s="189"/>
      <c r="N230" s="189"/>
      <c r="O230" s="189"/>
    </row>
    <row r="231" spans="2:15" s="192" customFormat="1" x14ac:dyDescent="0.2">
      <c r="B231" s="408" t="s">
        <v>712</v>
      </c>
      <c r="C231" s="411" t="s">
        <v>545</v>
      </c>
      <c r="D231" s="193" t="s">
        <v>1</v>
      </c>
      <c r="E231" s="1024">
        <v>0.99</v>
      </c>
      <c r="F231" s="1128"/>
      <c r="G231" s="881"/>
      <c r="H231" s="871"/>
      <c r="J231" s="189"/>
      <c r="K231" s="189"/>
      <c r="L231" s="189"/>
      <c r="M231" s="189"/>
      <c r="N231" s="189"/>
      <c r="O231" s="189"/>
    </row>
    <row r="232" spans="2:15" s="192" customFormat="1" x14ac:dyDescent="0.2">
      <c r="B232" s="408" t="s">
        <v>713</v>
      </c>
      <c r="C232" s="411" t="s">
        <v>547</v>
      </c>
      <c r="D232" s="193" t="s">
        <v>1</v>
      </c>
      <c r="E232" s="1024">
        <f>SUM(E233:E234)</f>
        <v>1.88</v>
      </c>
      <c r="F232" s="1128"/>
      <c r="G232" s="881"/>
      <c r="H232" s="871"/>
      <c r="J232" s="189"/>
      <c r="K232" s="189"/>
      <c r="L232" s="189"/>
      <c r="M232" s="189"/>
      <c r="N232" s="189"/>
      <c r="O232" s="189"/>
    </row>
    <row r="233" spans="2:15" s="192" customFormat="1" x14ac:dyDescent="0.2">
      <c r="B233" s="408" t="s">
        <v>714</v>
      </c>
      <c r="C233" s="411" t="s">
        <v>568</v>
      </c>
      <c r="D233" s="193" t="s">
        <v>1</v>
      </c>
      <c r="E233" s="1024">
        <v>0.49</v>
      </c>
      <c r="F233" s="1128"/>
      <c r="G233" s="881"/>
      <c r="H233" s="871"/>
      <c r="J233" s="189"/>
      <c r="K233" s="189"/>
      <c r="L233" s="189"/>
      <c r="M233" s="189"/>
      <c r="N233" s="189"/>
      <c r="O233" s="189"/>
    </row>
    <row r="234" spans="2:15" s="192" customFormat="1" x14ac:dyDescent="0.2">
      <c r="B234" s="408" t="s">
        <v>715</v>
      </c>
      <c r="C234" s="411" t="s">
        <v>551</v>
      </c>
      <c r="D234" s="193" t="s">
        <v>1</v>
      </c>
      <c r="E234" s="1024">
        <v>1.39</v>
      </c>
      <c r="F234" s="1128"/>
      <c r="G234" s="881"/>
      <c r="H234" s="871"/>
      <c r="J234" s="189"/>
      <c r="K234" s="189"/>
      <c r="L234" s="189"/>
      <c r="M234" s="189"/>
      <c r="N234" s="189"/>
      <c r="O234" s="189"/>
    </row>
    <row r="235" spans="2:15" s="192" customFormat="1" x14ac:dyDescent="0.2">
      <c r="B235" s="408" t="s">
        <v>716</v>
      </c>
      <c r="C235" s="411" t="s">
        <v>553</v>
      </c>
      <c r="D235" s="193" t="s">
        <v>1</v>
      </c>
      <c r="E235" s="1024">
        <f>SUM(E236:E238)</f>
        <v>6.65</v>
      </c>
      <c r="F235" s="1128"/>
      <c r="G235" s="881"/>
      <c r="H235" s="871"/>
      <c r="J235" s="189"/>
      <c r="K235" s="189"/>
      <c r="L235" s="189"/>
      <c r="M235" s="189"/>
      <c r="N235" s="189"/>
      <c r="O235" s="189"/>
    </row>
    <row r="236" spans="2:15" s="192" customFormat="1" x14ac:dyDescent="0.2">
      <c r="B236" s="408" t="s">
        <v>717</v>
      </c>
      <c r="C236" s="411" t="s">
        <v>555</v>
      </c>
      <c r="D236" s="193" t="s">
        <v>1</v>
      </c>
      <c r="E236" s="1024">
        <v>3</v>
      </c>
      <c r="F236" s="1128"/>
      <c r="G236" s="881"/>
      <c r="H236" s="871"/>
      <c r="J236" s="189"/>
      <c r="K236" s="189"/>
      <c r="L236" s="189"/>
      <c r="M236" s="189"/>
      <c r="N236" s="189"/>
      <c r="O236" s="189"/>
    </row>
    <row r="237" spans="2:15" s="192" customFormat="1" x14ac:dyDescent="0.2">
      <c r="B237" s="408" t="s">
        <v>718</v>
      </c>
      <c r="C237" s="411" t="s">
        <v>557</v>
      </c>
      <c r="D237" s="193" t="s">
        <v>1</v>
      </c>
      <c r="E237" s="1024">
        <v>0.65</v>
      </c>
      <c r="F237" s="1128"/>
      <c r="G237" s="881"/>
      <c r="H237" s="871"/>
      <c r="J237" s="189"/>
      <c r="K237" s="189"/>
      <c r="L237" s="189"/>
      <c r="M237" s="189"/>
      <c r="N237" s="189"/>
      <c r="O237" s="189"/>
    </row>
    <row r="238" spans="2:15" s="192" customFormat="1" x14ac:dyDescent="0.2">
      <c r="B238" s="408" t="s">
        <v>719</v>
      </c>
      <c r="C238" s="411" t="s">
        <v>559</v>
      </c>
      <c r="D238" s="193" t="s">
        <v>1</v>
      </c>
      <c r="E238" s="1024">
        <v>3</v>
      </c>
      <c r="F238" s="1128"/>
      <c r="G238" s="881"/>
      <c r="H238" s="871"/>
      <c r="J238" s="189"/>
      <c r="K238" s="189"/>
      <c r="L238" s="189"/>
      <c r="M238" s="189"/>
      <c r="N238" s="189"/>
      <c r="O238" s="189"/>
    </row>
    <row r="239" spans="2:15" s="192" customFormat="1" x14ac:dyDescent="0.2">
      <c r="B239" s="408" t="s">
        <v>720</v>
      </c>
      <c r="C239" s="411" t="s">
        <v>561</v>
      </c>
      <c r="D239" s="193" t="s">
        <v>1</v>
      </c>
      <c r="E239" s="1024">
        <v>8.0399999999999991</v>
      </c>
      <c r="F239" s="1128"/>
      <c r="G239" s="881"/>
      <c r="H239" s="871"/>
      <c r="J239" s="189"/>
      <c r="K239" s="189"/>
      <c r="L239" s="189"/>
      <c r="M239" s="189"/>
      <c r="N239" s="189"/>
      <c r="O239" s="189"/>
    </row>
    <row r="240" spans="2:15" s="192" customFormat="1" x14ac:dyDescent="0.2">
      <c r="B240" s="408" t="s">
        <v>721</v>
      </c>
      <c r="C240" s="411" t="s">
        <v>562</v>
      </c>
      <c r="D240" s="193" t="s">
        <v>1</v>
      </c>
      <c r="E240" s="1024">
        <f>(((1+(E230+E232)/100)*(1+E231/100)*(1+E239/100)/(1-E235/100))-1)*100</f>
        <v>24.841949102945904</v>
      </c>
      <c r="F240" s="1128"/>
      <c r="G240" s="881"/>
      <c r="H240" s="871"/>
      <c r="J240" s="189"/>
      <c r="K240" s="189"/>
      <c r="L240" s="189"/>
      <c r="M240" s="189"/>
      <c r="N240" s="189"/>
      <c r="O240" s="189"/>
    </row>
    <row r="241" spans="1:15" s="192" customFormat="1" x14ac:dyDescent="0.2">
      <c r="B241" s="223"/>
      <c r="C241" s="559" t="s">
        <v>563</v>
      </c>
      <c r="D241" s="560"/>
      <c r="E241" s="1129"/>
      <c r="F241" s="1130">
        <f>F226*(E240/100)</f>
        <v>1799.9436760042281</v>
      </c>
      <c r="G241" s="881"/>
      <c r="H241" s="871"/>
      <c r="J241" s="189"/>
      <c r="K241" s="189"/>
      <c r="L241" s="189"/>
      <c r="M241" s="189"/>
      <c r="N241" s="189"/>
      <c r="O241" s="189"/>
    </row>
    <row r="242" spans="1:15" s="192" customFormat="1" x14ac:dyDescent="0.2">
      <c r="B242" s="335"/>
      <c r="C242" s="189"/>
      <c r="D242" s="193"/>
      <c r="E242" s="993"/>
      <c r="F242" s="993"/>
      <c r="G242" s="881"/>
      <c r="H242" s="871"/>
      <c r="J242" s="189"/>
      <c r="K242" s="189"/>
      <c r="L242" s="189"/>
      <c r="M242" s="189"/>
      <c r="N242" s="189"/>
      <c r="O242" s="189"/>
    </row>
    <row r="243" spans="1:15" s="192" customFormat="1" ht="15" x14ac:dyDescent="0.2">
      <c r="A243" s="567"/>
      <c r="B243" s="418" t="s">
        <v>768</v>
      </c>
      <c r="C243" s="161" t="s">
        <v>769</v>
      </c>
      <c r="D243" s="160"/>
      <c r="E243" s="1039"/>
      <c r="F243" s="1039"/>
      <c r="G243" s="1039"/>
      <c r="H243" s="1040"/>
      <c r="J243" s="189"/>
      <c r="K243" s="189"/>
      <c r="L243" s="189"/>
      <c r="M243" s="189"/>
      <c r="N243" s="189"/>
      <c r="O243" s="189"/>
    </row>
    <row r="244" spans="1:15" s="192" customFormat="1" ht="15" x14ac:dyDescent="0.2">
      <c r="A244" s="567"/>
      <c r="B244" s="420" t="s">
        <v>7</v>
      </c>
      <c r="C244" s="421" t="s">
        <v>8</v>
      </c>
      <c r="D244" s="422" t="s">
        <v>9</v>
      </c>
      <c r="E244" s="1041" t="s">
        <v>10</v>
      </c>
      <c r="F244" s="1041" t="s">
        <v>11</v>
      </c>
      <c r="G244" s="1041" t="s">
        <v>12</v>
      </c>
      <c r="H244" s="1042"/>
      <c r="J244" s="189"/>
      <c r="K244" s="189"/>
      <c r="L244" s="189"/>
      <c r="M244" s="189"/>
      <c r="N244" s="189"/>
      <c r="O244" s="189"/>
    </row>
    <row r="245" spans="1:15" s="192" customFormat="1" x14ac:dyDescent="0.2">
      <c r="A245" s="567"/>
      <c r="B245" s="335" t="s">
        <v>275</v>
      </c>
      <c r="C245" s="192" t="s">
        <v>799</v>
      </c>
      <c r="D245" s="193" t="s">
        <v>779</v>
      </c>
      <c r="E245" s="1144">
        <v>94.1</v>
      </c>
      <c r="F245" s="955">
        <v>190</v>
      </c>
      <c r="G245" s="955">
        <f>E245*F245</f>
        <v>17879</v>
      </c>
      <c r="H245" s="884"/>
      <c r="J245" s="189"/>
      <c r="K245" s="189"/>
      <c r="L245" s="189"/>
      <c r="M245" s="189"/>
      <c r="N245" s="189"/>
      <c r="O245" s="189"/>
    </row>
    <row r="246" spans="1:15" s="192" customFormat="1" ht="15" x14ac:dyDescent="0.2">
      <c r="B246" s="448"/>
      <c r="C246" s="441"/>
      <c r="D246" s="441"/>
      <c r="E246" s="1048" t="s">
        <v>726</v>
      </c>
      <c r="F246" s="1048"/>
      <c r="G246" s="1048">
        <f>G245</f>
        <v>17879</v>
      </c>
      <c r="H246" s="1099"/>
      <c r="J246" s="189"/>
      <c r="K246" s="189"/>
      <c r="L246" s="189"/>
      <c r="M246" s="189"/>
      <c r="N246" s="189"/>
      <c r="O246" s="189"/>
    </row>
    <row r="247" spans="1:15" s="192" customFormat="1" ht="15" thickBot="1" x14ac:dyDescent="0.25">
      <c r="B247" s="335"/>
      <c r="C247" s="189"/>
      <c r="D247" s="193"/>
      <c r="E247" s="993"/>
      <c r="F247" s="993"/>
      <c r="G247" s="881"/>
      <c r="H247" s="871"/>
      <c r="J247" s="189"/>
      <c r="K247" s="189"/>
      <c r="L247" s="189"/>
      <c r="M247" s="189"/>
      <c r="N247" s="189"/>
      <c r="O247" s="189"/>
    </row>
    <row r="248" spans="1:15" s="192" customFormat="1" ht="15" x14ac:dyDescent="0.25">
      <c r="B248" s="335"/>
      <c r="C248" s="762" t="s">
        <v>564</v>
      </c>
      <c r="D248" s="747"/>
      <c r="E248" s="1131"/>
      <c r="F248" s="1132">
        <f>F226+F241+G246</f>
        <v>26924.525206443723</v>
      </c>
      <c r="G248" s="881"/>
      <c r="H248" s="871"/>
      <c r="J248" s="189"/>
      <c r="K248" s="189"/>
      <c r="L248" s="189"/>
      <c r="M248" s="189"/>
      <c r="N248" s="189"/>
      <c r="O248" s="189"/>
    </row>
    <row r="249" spans="1:15" s="192" customFormat="1" ht="15" x14ac:dyDescent="0.25">
      <c r="B249" s="335"/>
      <c r="C249" s="765" t="s">
        <v>617</v>
      </c>
      <c r="D249" s="766"/>
      <c r="E249" s="1133"/>
      <c r="F249" s="1134">
        <v>94.1</v>
      </c>
      <c r="G249" s="1026"/>
      <c r="H249" s="871"/>
      <c r="J249" s="189"/>
      <c r="K249" s="189"/>
      <c r="L249" s="189"/>
      <c r="M249" s="189"/>
      <c r="N249" s="189"/>
      <c r="O249" s="189"/>
    </row>
    <row r="250" spans="1:15" s="192" customFormat="1" ht="15" x14ac:dyDescent="0.25">
      <c r="B250" s="353"/>
      <c r="C250" s="769" t="s">
        <v>607</v>
      </c>
      <c r="D250" s="770"/>
      <c r="E250" s="1137"/>
      <c r="F250" s="1138">
        <f>F248/F249</f>
        <v>286.12672908016708</v>
      </c>
      <c r="G250" s="1139"/>
      <c r="H250" s="908"/>
      <c r="J250" s="189"/>
      <c r="K250" s="189"/>
      <c r="L250" s="189"/>
      <c r="M250" s="189"/>
      <c r="N250" s="189"/>
      <c r="O250" s="189"/>
    </row>
  </sheetData>
  <sheetProtection algorithmName="SHA-512" hashValue="+idkkLqizAxgpqvTIiLSLvNJoV8X/kLC+fxCe5bi/auYBhA05QMsd+OGp3JQ/T6VEYl8cMCfjC26JhJh58+bHw==" saltValue="tWlyKVp32TVgaK2qtGJeqQ==" spinCount="100000" sheet="1" objects="1" scenarios="1"/>
  <mergeCells count="1">
    <mergeCell ref="B7:H7"/>
  </mergeCells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253"/>
  <sheetViews>
    <sheetView showGridLines="0" topLeftCell="B1" zoomScale="85" zoomScaleNormal="85" zoomScaleSheetLayoutView="100" workbookViewId="0">
      <selection activeCell="E12" sqref="E12:H253"/>
    </sheetView>
  </sheetViews>
  <sheetFormatPr defaultColWidth="0" defaultRowHeight="14.25" zeroHeight="1" x14ac:dyDescent="0.2"/>
  <cols>
    <col min="1" max="1" width="5.140625" style="192" hidden="1" customWidth="1"/>
    <col min="2" max="2" width="11.42578125" style="189" customWidth="1"/>
    <col min="3" max="3" width="44.7109375" style="192" customWidth="1"/>
    <col min="4" max="5" width="17.28515625" style="192" customWidth="1"/>
    <col min="6" max="6" width="16.28515625" style="192" customWidth="1"/>
    <col min="7" max="7" width="18.5703125" style="192" bestFit="1" customWidth="1"/>
    <col min="8" max="8" width="15.28515625" style="192" customWidth="1"/>
    <col min="9" max="9" width="23.7109375" style="192" hidden="1" customWidth="1"/>
    <col min="10" max="12" width="11.42578125" style="189" hidden="1" customWidth="1"/>
    <col min="13" max="13" width="12.140625" style="189" hidden="1" customWidth="1"/>
    <col min="14" max="15" width="0" style="189" hidden="1" customWidth="1"/>
    <col min="16" max="16384" width="11.42578125" style="189" hidden="1"/>
  </cols>
  <sheetData>
    <row r="1" spans="1:15" x14ac:dyDescent="0.2"/>
    <row r="2" spans="1:15" x14ac:dyDescent="0.2"/>
    <row r="3" spans="1:15" x14ac:dyDescent="0.2"/>
    <row r="4" spans="1:15" x14ac:dyDescent="0.2"/>
    <row r="5" spans="1:15" x14ac:dyDescent="0.2"/>
    <row r="6" spans="1:15" x14ac:dyDescent="0.2"/>
    <row r="7" spans="1:15" ht="16.5" customHeight="1" x14ac:dyDescent="0.25">
      <c r="B7" s="825" t="s">
        <v>847</v>
      </c>
      <c r="C7" s="825"/>
      <c r="D7" s="825"/>
      <c r="E7" s="825"/>
      <c r="F7" s="825"/>
      <c r="G7" s="825"/>
      <c r="H7" s="825"/>
      <c r="I7" s="468"/>
      <c r="J7" s="469"/>
      <c r="K7" s="192"/>
      <c r="L7" s="192"/>
      <c r="M7" s="192"/>
      <c r="N7" s="192"/>
      <c r="O7" s="192"/>
    </row>
    <row r="8" spans="1:15" x14ac:dyDescent="0.2">
      <c r="B8" s="333"/>
      <c r="H8" s="334"/>
      <c r="J8" s="192"/>
      <c r="K8" s="192"/>
      <c r="L8" s="192"/>
      <c r="M8" s="192"/>
      <c r="N8" s="192"/>
      <c r="O8" s="192"/>
    </row>
    <row r="9" spans="1:15" ht="15" x14ac:dyDescent="0.2">
      <c r="B9" s="478" t="s">
        <v>2</v>
      </c>
      <c r="C9" s="479" t="s">
        <v>18</v>
      </c>
      <c r="D9" s="480"/>
      <c r="E9" s="480"/>
      <c r="F9" s="480"/>
      <c r="G9" s="480"/>
      <c r="H9" s="481"/>
    </row>
    <row r="10" spans="1:15" ht="15" x14ac:dyDescent="0.2">
      <c r="B10" s="420" t="s">
        <v>7</v>
      </c>
      <c r="C10" s="422" t="s">
        <v>8</v>
      </c>
      <c r="D10" s="422" t="s">
        <v>9</v>
      </c>
      <c r="E10" s="422" t="s">
        <v>10</v>
      </c>
      <c r="F10" s="422" t="s">
        <v>11</v>
      </c>
      <c r="G10" s="422" t="s">
        <v>12</v>
      </c>
      <c r="H10" s="423"/>
      <c r="I10" s="190"/>
    </row>
    <row r="11" spans="1:15" ht="15" x14ac:dyDescent="0.25">
      <c r="B11" s="482" t="s">
        <v>88</v>
      </c>
      <c r="C11" s="483" t="s">
        <v>19</v>
      </c>
      <c r="D11" s="484"/>
      <c r="E11" s="484"/>
      <c r="F11" s="484"/>
      <c r="G11" s="484"/>
      <c r="H11" s="485"/>
      <c r="I11" s="357"/>
    </row>
    <row r="12" spans="1:15" x14ac:dyDescent="0.2">
      <c r="A12" s="192" t="s">
        <v>96</v>
      </c>
      <c r="B12" s="335" t="str">
        <f>IF(C12="","",$B$11&amp;"."&amp;COUNT($F$12:F12))</f>
        <v>1.1.1</v>
      </c>
      <c r="C12" s="192" t="s">
        <v>20</v>
      </c>
      <c r="D12" s="190" t="s">
        <v>21</v>
      </c>
      <c r="E12" s="857">
        <f>SUMIFS('2. DADOS DE ENTRADA'!C:C,'2. DADOS DE ENTRADA'!A:A,'9. TRANS. DEST. FINAL CS'!A12,'2. DADOS DE ENTRADA'!B:B,'9. TRANS. DEST. FINAL CS'!$C$11)</f>
        <v>173.38</v>
      </c>
      <c r="F12" s="858">
        <f>'3. PREÇOS UNITÁRIOS'!D22/'9. TRANS. DEST. FINAL CS'!E12</f>
        <v>13.474592225170147</v>
      </c>
      <c r="G12" s="858">
        <f>E12*F12</f>
        <v>2336.2248</v>
      </c>
      <c r="H12" s="859"/>
      <c r="I12" s="357"/>
    </row>
    <row r="13" spans="1:15" x14ac:dyDescent="0.2">
      <c r="A13" s="192" t="s">
        <v>88</v>
      </c>
      <c r="B13" s="335" t="str">
        <f>IF(C13="","",$B$11&amp;"."&amp;COUNT($F$12:F13))</f>
        <v>1.1.2</v>
      </c>
      <c r="C13" s="192" t="s">
        <v>22</v>
      </c>
      <c r="D13" s="190" t="s">
        <v>1</v>
      </c>
      <c r="E13" s="860">
        <f>SUMIFS('2. DADOS DE ENTRADA'!C:C,'2. DADOS DE ENTRADA'!A:A,'9. TRANS. DEST. FINAL CS'!A13,'2. DADOS DE ENTRADA'!B:B,'9. TRANS. DEST. FINAL CS'!$C$11)</f>
        <v>0.4</v>
      </c>
      <c r="F13" s="858">
        <f>'3. PREÇOS UNITÁRIOS'!D21</f>
        <v>1412</v>
      </c>
      <c r="G13" s="858">
        <f>E13*F13</f>
        <v>564.80000000000007</v>
      </c>
      <c r="H13" s="859"/>
      <c r="I13" s="337"/>
      <c r="J13" s="224"/>
    </row>
    <row r="14" spans="1:15" ht="15" x14ac:dyDescent="0.25">
      <c r="B14" s="335"/>
      <c r="D14" s="190"/>
      <c r="E14" s="860"/>
      <c r="F14" s="858"/>
      <c r="G14" s="861">
        <f>SUM(G12:G13)</f>
        <v>2901.0248000000001</v>
      </c>
      <c r="H14" s="859"/>
      <c r="I14" s="337"/>
      <c r="J14" s="224"/>
    </row>
    <row r="15" spans="1:15" ht="15" x14ac:dyDescent="0.25">
      <c r="A15" s="192" t="s">
        <v>109</v>
      </c>
      <c r="B15" s="335" t="str">
        <f>IF(C15="","",$B$11&amp;"."&amp;COUNT($F$12:F15))</f>
        <v>1.1.3</v>
      </c>
      <c r="C15" s="192" t="s">
        <v>254</v>
      </c>
      <c r="D15" s="190" t="s">
        <v>21</v>
      </c>
      <c r="E15" s="862">
        <f>SUMIFS('2. DADOS DE ENTRADA'!D:D,'2. DADOS DE ENTRADA'!A:A,'9. TRANS. DEST. FINAL CS'!A15,'2. DADOS DE ENTRADA'!B:B,'9. TRANS. DEST. FINAL CS'!C11)</f>
        <v>0</v>
      </c>
      <c r="F15" s="863">
        <f>(G14/E12)*1.5</f>
        <v>25.098265082477795</v>
      </c>
      <c r="G15" s="863">
        <f>F15*E15</f>
        <v>0</v>
      </c>
      <c r="H15" s="864"/>
      <c r="I15" s="403"/>
    </row>
    <row r="16" spans="1:15" ht="15" x14ac:dyDescent="0.25">
      <c r="A16" s="192" t="s">
        <v>95</v>
      </c>
      <c r="B16" s="335" t="str">
        <f>IF(C16="","",$B$11&amp;"."&amp;COUNT($F$12:F16))</f>
        <v>1.1.4</v>
      </c>
      <c r="C16" s="192" t="s">
        <v>255</v>
      </c>
      <c r="D16" s="190" t="s">
        <v>21</v>
      </c>
      <c r="E16" s="862">
        <f>SUMIFS('2. DADOS DE ENTRADA'!D:D,'2. DADOS DE ENTRADA'!A:A,'9. TRANS. DEST. FINAL CS'!A16,'2. DADOS DE ENTRADA'!B:B,'9. TRANS. DEST. FINAL CS'!C11)</f>
        <v>0</v>
      </c>
      <c r="F16" s="863">
        <f>(G14/E12)*2</f>
        <v>33.464353443303729</v>
      </c>
      <c r="G16" s="863">
        <f>F16*E16</f>
        <v>0</v>
      </c>
      <c r="H16" s="864"/>
      <c r="I16" s="403"/>
      <c r="J16" s="224"/>
    </row>
    <row r="17" spans="1:10" ht="15" x14ac:dyDescent="0.25">
      <c r="A17" s="379"/>
      <c r="B17" s="523" t="str">
        <f>IF(C17="","",$B$11&amp;"."&amp;COUNT($F$12:F17))</f>
        <v/>
      </c>
      <c r="C17" s="524"/>
      <c r="D17" s="524"/>
      <c r="E17" s="1069"/>
      <c r="F17" s="1070" t="s">
        <v>352</v>
      </c>
      <c r="G17" s="1071">
        <f>G14+G15+G16</f>
        <v>2901.0248000000001</v>
      </c>
      <c r="H17" s="1072"/>
      <c r="I17" s="403"/>
    </row>
    <row r="18" spans="1:10" x14ac:dyDescent="0.2">
      <c r="A18" s="192" t="s">
        <v>273</v>
      </c>
      <c r="B18" s="335" t="str">
        <f>IF(C18="","",$B$11&amp;"."&amp;COUNT($F$12:F18))</f>
        <v>1.1.5</v>
      </c>
      <c r="C18" s="192" t="s">
        <v>23</v>
      </c>
      <c r="D18" s="190" t="s">
        <v>1</v>
      </c>
      <c r="E18" s="869">
        <f>SUMIFS('2. DADOS DE ENTRADA'!C:C,'2. DADOS DE ENTRADA'!A:A,'9. TRANS. DEST. FINAL CS'!A18,'2. DADOS DE ENTRADA'!B:B,'9. TRANS. DEST. FINAL CS'!$C$11)</f>
        <v>0.71101040000000004</v>
      </c>
      <c r="F18" s="858">
        <f>G17</f>
        <v>2901.0248000000001</v>
      </c>
      <c r="G18" s="858">
        <f>(E18)*F18</f>
        <v>2062.6588034579204</v>
      </c>
      <c r="H18" s="859"/>
      <c r="I18" s="357"/>
    </row>
    <row r="19" spans="1:10" ht="15" x14ac:dyDescent="0.25">
      <c r="A19" s="379"/>
      <c r="B19" s="523" t="str">
        <f>IF(C19="","",$B$11&amp;"."&amp;COUNT($F$12:F19))</f>
        <v/>
      </c>
      <c r="C19" s="524"/>
      <c r="D19" s="524"/>
      <c r="E19" s="1069"/>
      <c r="F19" s="1070" t="s">
        <v>352</v>
      </c>
      <c r="G19" s="1071">
        <f>G18+G17</f>
        <v>4963.683603457921</v>
      </c>
      <c r="H19" s="1072"/>
      <c r="I19" s="357"/>
    </row>
    <row r="20" spans="1:10" x14ac:dyDescent="0.2">
      <c r="A20" s="192" t="s">
        <v>93</v>
      </c>
      <c r="B20" s="335" t="str">
        <f>IF(C20="","",$B$11&amp;"."&amp;COUNT($F$12:F20))</f>
        <v>1.1.6</v>
      </c>
      <c r="C20" s="192" t="s">
        <v>24</v>
      </c>
      <c r="D20" s="190" t="s">
        <v>25</v>
      </c>
      <c r="E20" s="870">
        <f>SUMIFS('2. DADOS DE ENTRADA'!T:T,'2. DADOS DE ENTRADA'!A:A,'9. TRANS. DEST. FINAL CS'!A20,'2. DADOS DE ENTRADA'!B:B,'9. TRANS. DEST. FINAL CS'!$C$11)+SUMIFS('2. DADOS DE ENTRADA'!U:U,'2. DADOS DE ENTRADA'!A:A,'9. TRANS. DEST. FINAL CS'!A20,'2. DADOS DE ENTRADA'!B:B,'9. TRANS. DEST. FINAL CS'!$C$11)</f>
        <v>0.11534999999999999</v>
      </c>
      <c r="F20" s="858">
        <f>G19</f>
        <v>4963.683603457921</v>
      </c>
      <c r="G20" s="858">
        <f>E20*F20</f>
        <v>572.56090365887121</v>
      </c>
      <c r="H20" s="859"/>
      <c r="I20" s="357"/>
    </row>
    <row r="21" spans="1:10" x14ac:dyDescent="0.2">
      <c r="A21" s="192" t="s">
        <v>93</v>
      </c>
      <c r="B21" s="335" t="str">
        <f>IF(C21="","",$B$11&amp;"."&amp;COUNT($F$12:F21))</f>
        <v>1.1.7</v>
      </c>
      <c r="C21" s="189" t="s">
        <v>26</v>
      </c>
      <c r="D21" s="193" t="s">
        <v>25</v>
      </c>
      <c r="E21" s="870">
        <f>SUMIFS('2. DADOS DE ENTRADA'!W:W,'2. DADOS DE ENTRADA'!A:A,'5. COLETA URBANA SEDE.DISTRITOS'!A22,'2. DADOS DE ENTRADA'!B:B,'5. COLETA URBANA SEDE.DISTRITOS'!$C$12)</f>
        <v>0.1</v>
      </c>
      <c r="F21" s="858">
        <f>G19</f>
        <v>4963.683603457921</v>
      </c>
      <c r="G21" s="858">
        <f>E21*F21</f>
        <v>496.3683603457921</v>
      </c>
      <c r="H21" s="871"/>
    </row>
    <row r="22" spans="1:10" x14ac:dyDescent="0.2">
      <c r="A22" s="192" t="s">
        <v>104</v>
      </c>
      <c r="B22" s="335" t="str">
        <f>IF(C22="","",$B$11&amp;"."&amp;COUNT($F$12:F22))</f>
        <v>1.1.8</v>
      </c>
      <c r="C22" s="192" t="s">
        <v>29</v>
      </c>
      <c r="D22" s="190" t="s">
        <v>4</v>
      </c>
      <c r="E22" s="870">
        <f>SUMIFS('2. DADOS DE ENTRADA'!C:C,'2. DADOS DE ENTRADA'!A:A,'9. TRANS. DEST. FINAL CS'!A22,'2. DADOS DE ENTRADA'!B:B,'9. TRANS. DEST. FINAL CS'!$C$11)</f>
        <v>26</v>
      </c>
      <c r="F22" s="858">
        <f>'3. PREÇOS UNITÁRIOS'!D27/E22</f>
        <v>12.594230769230769</v>
      </c>
      <c r="G22" s="858">
        <f>E22*F22</f>
        <v>327.45</v>
      </c>
      <c r="H22" s="872"/>
      <c r="I22" s="470"/>
      <c r="J22" s="471"/>
    </row>
    <row r="23" spans="1:10" x14ac:dyDescent="0.2">
      <c r="A23" s="192" t="s">
        <v>93</v>
      </c>
      <c r="B23" s="335" t="str">
        <f>IF(C23="","",$B$11&amp;"."&amp;COUNT($F$12:F23))</f>
        <v>1.1.9</v>
      </c>
      <c r="C23" s="192" t="s">
        <v>28</v>
      </c>
      <c r="D23" s="190" t="s">
        <v>25</v>
      </c>
      <c r="E23" s="870">
        <f>E20+E21</f>
        <v>0.21534999999999999</v>
      </c>
      <c r="F23" s="858">
        <f>'3. PREÇOS UNITÁRIOS'!D27</f>
        <v>327.45</v>
      </c>
      <c r="G23" s="858">
        <f>F23*E23</f>
        <v>70.516357499999998</v>
      </c>
      <c r="H23" s="871"/>
    </row>
    <row r="24" spans="1:10" x14ac:dyDescent="0.2">
      <c r="B24" s="335" t="str">
        <f>IF(C24="","",$B$11&amp;"."&amp;COUNT($F$12:F24))</f>
        <v>1.1.10</v>
      </c>
      <c r="C24" s="192" t="s">
        <v>638</v>
      </c>
      <c r="D24" s="190" t="s">
        <v>25</v>
      </c>
      <c r="E24" s="870">
        <f>E23</f>
        <v>0.21534999999999999</v>
      </c>
      <c r="F24" s="858">
        <f>'3. PREÇOS UNITÁRIOS'!D29</f>
        <v>40</v>
      </c>
      <c r="G24" s="858">
        <f>F24*E24</f>
        <v>8.613999999999999</v>
      </c>
      <c r="H24" s="871"/>
    </row>
    <row r="25" spans="1:10" ht="15" x14ac:dyDescent="0.25">
      <c r="A25" s="379"/>
      <c r="B25" s="528"/>
      <c r="C25" s="529"/>
      <c r="D25" s="529"/>
      <c r="E25" s="1073"/>
      <c r="F25" s="1074" t="s">
        <v>284</v>
      </c>
      <c r="G25" s="1075">
        <f>G20+G21+G23+G24</f>
        <v>1148.0596215046633</v>
      </c>
      <c r="H25" s="1076"/>
      <c r="I25" s="347"/>
    </row>
    <row r="26" spans="1:10" s="192" customFormat="1" ht="15" x14ac:dyDescent="0.25">
      <c r="B26" s="345"/>
      <c r="D26" s="190"/>
      <c r="E26" s="857"/>
      <c r="F26" s="877"/>
      <c r="G26" s="878"/>
      <c r="H26" s="871"/>
      <c r="I26" s="357"/>
    </row>
    <row r="27" spans="1:10" ht="15" x14ac:dyDescent="0.25">
      <c r="B27" s="497" t="s">
        <v>89</v>
      </c>
      <c r="C27" s="498" t="s">
        <v>30</v>
      </c>
      <c r="D27" s="499"/>
      <c r="E27" s="1088"/>
      <c r="F27" s="1088"/>
      <c r="G27" s="1088"/>
      <c r="H27" s="1089"/>
      <c r="I27" s="357"/>
    </row>
    <row r="28" spans="1:10" x14ac:dyDescent="0.2">
      <c r="A28" s="192" t="s">
        <v>96</v>
      </c>
      <c r="B28" s="335" t="str">
        <f>IF(C28="","",$B$27&amp;"."&amp;COUNT($F$28:F28))</f>
        <v>1.2.1</v>
      </c>
      <c r="C28" s="192" t="s">
        <v>20</v>
      </c>
      <c r="D28" s="190" t="s">
        <v>21</v>
      </c>
      <c r="E28" s="857">
        <f>SUMIFS('2. DADOS DE ENTRADA'!C:C,'2. DADOS DE ENTRADA'!A:A,'9. TRANS. DEST. FINAL CS'!A28,'2. DADOS DE ENTRADA'!B:B,'9. TRANS. DEST. FINAL CS'!$C$27)</f>
        <v>133</v>
      </c>
      <c r="F28" s="858">
        <f>'3. PREÇOS UNITÁRIOS'!D23/'9. TRANS. DEST. FINAL CS'!E28</f>
        <v>12.233185714285714</v>
      </c>
      <c r="G28" s="858">
        <f>E28*F28</f>
        <v>1627.0137</v>
      </c>
      <c r="H28" s="859"/>
      <c r="I28" s="357"/>
    </row>
    <row r="29" spans="1:10" x14ac:dyDescent="0.2">
      <c r="A29" s="192" t="s">
        <v>88</v>
      </c>
      <c r="B29" s="335" t="str">
        <f>IF(C29="","",$B$27&amp;"."&amp;COUNT($F$28:F29))</f>
        <v>1.2.2</v>
      </c>
      <c r="C29" s="192" t="s">
        <v>22</v>
      </c>
      <c r="D29" s="190" t="s">
        <v>1</v>
      </c>
      <c r="E29" s="860">
        <f>SUMIFS('2. DADOS DE ENTRADA'!C:C,'2. DADOS DE ENTRADA'!A:A,'9. TRANS. DEST. FINAL CS'!A29,'2. DADOS DE ENTRADA'!B:B,'9. TRANS. DEST. FINAL CS'!$C$27)</f>
        <v>0.4</v>
      </c>
      <c r="F29" s="858">
        <f>'3. PREÇOS UNITÁRIOS'!D21</f>
        <v>1412</v>
      </c>
      <c r="G29" s="858">
        <f>E29*F29</f>
        <v>564.80000000000007</v>
      </c>
      <c r="H29" s="859"/>
      <c r="I29" s="472"/>
      <c r="J29" s="473"/>
    </row>
    <row r="30" spans="1:10" ht="15" x14ac:dyDescent="0.25">
      <c r="B30" s="335"/>
      <c r="D30" s="190"/>
      <c r="E30" s="860"/>
      <c r="F30" s="858"/>
      <c r="G30" s="861">
        <f>SUM(G28:G29)</f>
        <v>2191.8137000000002</v>
      </c>
      <c r="H30" s="859"/>
      <c r="I30" s="472"/>
      <c r="J30" s="473"/>
    </row>
    <row r="31" spans="1:10" s="192" customFormat="1" ht="15" x14ac:dyDescent="0.25">
      <c r="A31" s="192" t="s">
        <v>109</v>
      </c>
      <c r="B31" s="335" t="str">
        <f>IF(C31="","",$B$27&amp;"."&amp;COUNT($F$28:F31))</f>
        <v>1.2.3</v>
      </c>
      <c r="C31" s="192" t="s">
        <v>254</v>
      </c>
      <c r="D31" s="190" t="s">
        <v>21</v>
      </c>
      <c r="E31" s="857">
        <f>SUMIFS('2. DADOS DE ENTRADA'!D:D,'2. DADOS DE ENTRADA'!A:A,'9. TRANS. DEST. FINAL CS'!A31,'2. DADOS DE ENTRADA'!B:B,'9. TRANS. DEST. FINAL CS'!C27)</f>
        <v>0</v>
      </c>
      <c r="F31" s="858">
        <f>(G30/E28)*1.5</f>
        <v>24.719703383458651</v>
      </c>
      <c r="G31" s="858">
        <f>(E31)*F31</f>
        <v>0</v>
      </c>
      <c r="H31" s="1079"/>
      <c r="I31" s="357"/>
    </row>
    <row r="32" spans="1:10" s="192" customFormat="1" ht="15" x14ac:dyDescent="0.25">
      <c r="A32" s="192" t="s">
        <v>95</v>
      </c>
      <c r="B32" s="335" t="str">
        <f>IF(C32="","",$B$27&amp;"."&amp;COUNT($F$28:F32))</f>
        <v>1.2.4</v>
      </c>
      <c r="C32" s="192" t="s">
        <v>255</v>
      </c>
      <c r="D32" s="190" t="s">
        <v>21</v>
      </c>
      <c r="E32" s="857">
        <f>SUMIFS('2. DADOS DE ENTRADA'!D:D,'2. DADOS DE ENTRADA'!A:A,'9. TRANS. DEST. FINAL CS'!A32,'2. DADOS DE ENTRADA'!B:B,'9. TRANS. DEST. FINAL CS'!C27)</f>
        <v>0</v>
      </c>
      <c r="F32" s="858">
        <f>(G30/F28)*2</f>
        <v>358.33898890955868</v>
      </c>
      <c r="G32" s="858">
        <f>(E32)*F32</f>
        <v>0</v>
      </c>
      <c r="H32" s="1079"/>
      <c r="I32" s="357"/>
    </row>
    <row r="33" spans="1:9" s="192" customFormat="1" ht="15" x14ac:dyDescent="0.25">
      <c r="A33" s="379"/>
      <c r="B33" s="523" t="str">
        <f>IF(C33="","",$B$27&amp;"."&amp;COUNT($F$28:F33))</f>
        <v/>
      </c>
      <c r="C33" s="524"/>
      <c r="D33" s="524"/>
      <c r="E33" s="1069"/>
      <c r="F33" s="1070" t="s">
        <v>352</v>
      </c>
      <c r="G33" s="1071">
        <f>G30+G31+G32</f>
        <v>2191.8137000000002</v>
      </c>
      <c r="H33" s="1072"/>
      <c r="I33" s="357"/>
    </row>
    <row r="34" spans="1:9" x14ac:dyDescent="0.2">
      <c r="A34" s="192" t="s">
        <v>273</v>
      </c>
      <c r="B34" s="335" t="str">
        <f>IF(C34="","",$B$27&amp;"."&amp;COUNT($F$28:F34))</f>
        <v>1.2.5</v>
      </c>
      <c r="C34" s="192" t="s">
        <v>23</v>
      </c>
      <c r="D34" s="190" t="s">
        <v>1</v>
      </c>
      <c r="E34" s="869">
        <f>SUMIFS('2. DADOS DE ENTRADA'!C:C,'2. DADOS DE ENTRADA'!A:A,'9. TRANS. DEST. FINAL CS'!A34,'2. DADOS DE ENTRADA'!B:B,'9. TRANS. DEST. FINAL CS'!$C$27)</f>
        <v>0.71101040000000004</v>
      </c>
      <c r="F34" s="858">
        <f>G33</f>
        <v>2191.8137000000002</v>
      </c>
      <c r="G34" s="858">
        <f>(E34)*F34</f>
        <v>1558.4023355624802</v>
      </c>
      <c r="H34" s="859"/>
      <c r="I34" s="357"/>
    </row>
    <row r="35" spans="1:9" ht="15" x14ac:dyDescent="0.25">
      <c r="A35" s="379"/>
      <c r="B35" s="523" t="str">
        <f>IF(C35="","",$B$27&amp;"."&amp;COUNT($F$28:F35))</f>
        <v/>
      </c>
      <c r="C35" s="524"/>
      <c r="D35" s="524"/>
      <c r="E35" s="1069"/>
      <c r="F35" s="1070" t="s">
        <v>353</v>
      </c>
      <c r="G35" s="1071">
        <f>G33+G34</f>
        <v>3750.2160355624801</v>
      </c>
      <c r="H35" s="1072"/>
      <c r="I35" s="357"/>
    </row>
    <row r="36" spans="1:9" x14ac:dyDescent="0.2">
      <c r="A36" s="192" t="s">
        <v>93</v>
      </c>
      <c r="B36" s="335" t="str">
        <f>IF(C36="","",$B$27&amp;"."&amp;COUNT($F$28:F36))</f>
        <v>1.2.6</v>
      </c>
      <c r="C36" s="192" t="s">
        <v>31</v>
      </c>
      <c r="D36" s="190" t="s">
        <v>25</v>
      </c>
      <c r="E36" s="870">
        <f>SUMIFS('2. DADOS DE ENTRADA'!T:T,'2. DADOS DE ENTRADA'!A:A,'9. TRANS. DEST. FINAL CS'!A36,'2. DADOS DE ENTRADA'!B:B,'9. TRANS. DEST. FINAL CS'!$C$27)+SUMIFS('2. DADOS DE ENTRADA'!U:U,'2. DADOS DE ENTRADA'!A:A,'9. TRANS. DEST. FINAL CS'!A36,'2. DADOS DE ENTRADA'!B:B,'9. TRANS. DEST. FINAL CS'!$C$27)</f>
        <v>0</v>
      </c>
      <c r="F36" s="858">
        <f>G35</f>
        <v>3750.2160355624801</v>
      </c>
      <c r="G36" s="858">
        <f>E36*F36</f>
        <v>0</v>
      </c>
      <c r="H36" s="859"/>
      <c r="I36" s="357"/>
    </row>
    <row r="37" spans="1:9" x14ac:dyDescent="0.2">
      <c r="A37" s="192" t="s">
        <v>93</v>
      </c>
      <c r="B37" s="335" t="str">
        <f>IF(C37="","",$B$27&amp;"."&amp;COUNT($F$28:F37))</f>
        <v>1.2.7</v>
      </c>
      <c r="C37" s="189" t="s">
        <v>26</v>
      </c>
      <c r="D37" s="193" t="s">
        <v>25</v>
      </c>
      <c r="E37" s="870">
        <f>SUMIFS('2. DADOS DE ENTRADA'!W:W,'2. DADOS DE ENTRADA'!A:A,'9. TRANS. DEST. FINAL CS'!A37,'2. DADOS DE ENTRADA'!B:B,'9. TRANS. DEST. FINAL CS'!$C$27)</f>
        <v>0</v>
      </c>
      <c r="F37" s="858">
        <f>G35</f>
        <v>3750.2160355624801</v>
      </c>
      <c r="G37" s="858">
        <f>E37*F37</f>
        <v>0</v>
      </c>
      <c r="H37" s="871"/>
    </row>
    <row r="38" spans="1:9" x14ac:dyDescent="0.2">
      <c r="A38" s="192" t="s">
        <v>104</v>
      </c>
      <c r="B38" s="335" t="str">
        <f>IF(C38="","",$B$27&amp;"."&amp;COUNT($F$28:F38))</f>
        <v>1.2.8</v>
      </c>
      <c r="C38" s="192" t="s">
        <v>29</v>
      </c>
      <c r="D38" s="190" t="s">
        <v>4</v>
      </c>
      <c r="E38" s="870">
        <f>SUMIFS('2. DADOS DE ENTRADA'!C:C,'2. DADOS DE ENTRADA'!A:A,'9. TRANS. DEST. FINAL CS'!A38,'2. DADOS DE ENTRADA'!B:B,'9. TRANS. DEST. FINAL CS'!$C$27)</f>
        <v>26</v>
      </c>
      <c r="F38" s="858">
        <f>'3. PREÇOS UNITÁRIOS'!D27/E38</f>
        <v>12.594230769230769</v>
      </c>
      <c r="G38" s="858">
        <f>E38*F38</f>
        <v>327.45</v>
      </c>
      <c r="H38" s="871"/>
      <c r="I38" s="470"/>
    </row>
    <row r="39" spans="1:9" x14ac:dyDescent="0.2">
      <c r="A39" s="192" t="s">
        <v>93</v>
      </c>
      <c r="B39" s="335" t="str">
        <f>IF(C39="","",$B$27&amp;"."&amp;COUNT($F$28:F39))</f>
        <v>1.2.9</v>
      </c>
      <c r="C39" s="192" t="s">
        <v>32</v>
      </c>
      <c r="D39" s="190" t="s">
        <v>25</v>
      </c>
      <c r="E39" s="870">
        <f>E36+E37</f>
        <v>0</v>
      </c>
      <c r="F39" s="858">
        <f>'3. PREÇOS UNITÁRIOS'!D27</f>
        <v>327.45</v>
      </c>
      <c r="G39" s="858">
        <f>F39*E39</f>
        <v>0</v>
      </c>
      <c r="H39" s="871"/>
    </row>
    <row r="40" spans="1:9" x14ac:dyDescent="0.2">
      <c r="B40" s="335" t="str">
        <f>IF(C40="","",$B$27&amp;"."&amp;COUNT($F$28:F40))</f>
        <v>1.2.10</v>
      </c>
      <c r="C40" s="192" t="s">
        <v>638</v>
      </c>
      <c r="D40" s="190" t="s">
        <v>25</v>
      </c>
      <c r="E40" s="870">
        <f>E39</f>
        <v>0</v>
      </c>
      <c r="F40" s="858">
        <f>'3. PREÇOS UNITÁRIOS'!D29</f>
        <v>40</v>
      </c>
      <c r="G40" s="858">
        <f>F40*E40</f>
        <v>0</v>
      </c>
      <c r="H40" s="871"/>
    </row>
    <row r="41" spans="1:9" ht="15" x14ac:dyDescent="0.25">
      <c r="A41" s="379"/>
      <c r="B41" s="528" t="str">
        <f>IF(C41="","",$B$27&amp;"."&amp;COUNT($F$28:F41))</f>
        <v/>
      </c>
      <c r="C41" s="529"/>
      <c r="D41" s="529"/>
      <c r="E41" s="1073"/>
      <c r="F41" s="1074" t="s">
        <v>285</v>
      </c>
      <c r="G41" s="1075">
        <f>G36+G37+G39+G40</f>
        <v>0</v>
      </c>
      <c r="H41" s="1076"/>
      <c r="I41" s="357"/>
    </row>
    <row r="42" spans="1:9" ht="15" x14ac:dyDescent="0.25">
      <c r="B42" s="335"/>
      <c r="C42" s="189"/>
      <c r="D42" s="193"/>
      <c r="E42" s="862"/>
      <c r="F42" s="882"/>
      <c r="G42" s="883"/>
      <c r="H42" s="884"/>
      <c r="I42" s="403"/>
    </row>
    <row r="43" spans="1:9" ht="15" x14ac:dyDescent="0.2">
      <c r="B43" s="489"/>
      <c r="C43" s="490"/>
      <c r="D43" s="490"/>
      <c r="E43" s="1081" t="s">
        <v>34</v>
      </c>
      <c r="F43" s="1081"/>
      <c r="G43" s="1082">
        <f>G41+G25</f>
        <v>1148.0596215046633</v>
      </c>
      <c r="H43" s="1083"/>
      <c r="I43" s="357"/>
    </row>
    <row r="44" spans="1:9" s="196" customFormat="1" ht="15" x14ac:dyDescent="0.25">
      <c r="A44" s="201"/>
      <c r="B44" s="568"/>
      <c r="C44" s="569"/>
      <c r="D44" s="569"/>
      <c r="E44" s="1147"/>
      <c r="F44" s="1147"/>
      <c r="G44" s="1147"/>
      <c r="H44" s="1148"/>
      <c r="I44" s="347"/>
    </row>
    <row r="45" spans="1:9" x14ac:dyDescent="0.2">
      <c r="B45" s="335"/>
      <c r="D45" s="190"/>
      <c r="E45" s="857"/>
      <c r="F45" s="901"/>
      <c r="G45" s="901"/>
      <c r="H45" s="859"/>
      <c r="I45" s="357"/>
    </row>
    <row r="46" spans="1:9" ht="15" x14ac:dyDescent="0.2">
      <c r="B46" s="493" t="s">
        <v>5</v>
      </c>
      <c r="C46" s="494" t="s">
        <v>72</v>
      </c>
      <c r="D46" s="495"/>
      <c r="E46" s="1086"/>
      <c r="F46" s="1086"/>
      <c r="G46" s="1086"/>
      <c r="H46" s="1087"/>
      <c r="I46" s="357"/>
    </row>
    <row r="47" spans="1:9" ht="15" x14ac:dyDescent="0.2">
      <c r="B47" s="322"/>
      <c r="C47" s="323"/>
      <c r="D47" s="154"/>
      <c r="E47" s="1012"/>
      <c r="F47" s="1012"/>
      <c r="G47" s="1012"/>
      <c r="H47" s="1013"/>
      <c r="I47" s="357"/>
    </row>
    <row r="48" spans="1:9" ht="15" x14ac:dyDescent="0.2">
      <c r="B48" s="420" t="s">
        <v>7</v>
      </c>
      <c r="C48" s="422" t="s">
        <v>8</v>
      </c>
      <c r="D48" s="422" t="s">
        <v>9</v>
      </c>
      <c r="E48" s="1041" t="s">
        <v>10</v>
      </c>
      <c r="F48" s="1041" t="s">
        <v>11</v>
      </c>
      <c r="G48" s="1041" t="s">
        <v>12</v>
      </c>
      <c r="H48" s="1042"/>
      <c r="I48" s="190"/>
    </row>
    <row r="49" spans="1:10" ht="15" x14ac:dyDescent="0.25">
      <c r="B49" s="497" t="s">
        <v>91</v>
      </c>
      <c r="C49" s="498" t="s">
        <v>281</v>
      </c>
      <c r="D49" s="499"/>
      <c r="E49" s="1088"/>
      <c r="F49" s="1088"/>
      <c r="G49" s="1088"/>
      <c r="H49" s="1089"/>
      <c r="I49" s="357"/>
    </row>
    <row r="50" spans="1:10" x14ac:dyDescent="0.2">
      <c r="A50" s="192" t="s">
        <v>92</v>
      </c>
      <c r="B50" s="335" t="str">
        <f>IF(C50="","",$B$49&amp;"."&amp;COUNT($F$50:F50))</f>
        <v>2.1.0</v>
      </c>
      <c r="C50" s="189" t="s">
        <v>87</v>
      </c>
      <c r="D50" s="193" t="s">
        <v>25</v>
      </c>
      <c r="E50" s="862">
        <f>SUMIFS('2. DADOS DE ENTRADA'!G:G,'2. DADOS DE ENTRADA'!A:A,'9. TRANS. DEST. FINAL CS'!A50,'2. DADOS DE ENTRADA'!B:B,'9. TRANS. DEST. FINAL CS'!C49)</f>
        <v>0</v>
      </c>
      <c r="F50" s="994"/>
      <c r="G50" s="994"/>
      <c r="H50" s="904"/>
      <c r="I50" s="403"/>
    </row>
    <row r="51" spans="1:10" x14ac:dyDescent="0.2">
      <c r="A51" s="192" t="s">
        <v>96</v>
      </c>
      <c r="B51" s="335" t="str">
        <f>IF(C51="","",$B$49&amp;"."&amp;COUNT($F$50:F51))</f>
        <v>2.1.1</v>
      </c>
      <c r="C51" s="189" t="s">
        <v>20</v>
      </c>
      <c r="D51" s="193" t="s">
        <v>21</v>
      </c>
      <c r="E51" s="862">
        <f>SUMIFS('2. DADOS DE ENTRADA'!C:C,'2. DADOS DE ENTRADA'!A:A,'9. TRANS. DEST. FINAL CS'!A51,'2. DADOS DE ENTRADA'!B:B,'9. TRANS. DEST. FINAL CS'!$C$49)</f>
        <v>120</v>
      </c>
      <c r="F51" s="858">
        <f>'3. PREÇOS UNITÁRIOS'!D24/'9. TRANS. DEST. FINAL CS'!E51</f>
        <v>13.5584475</v>
      </c>
      <c r="G51" s="858">
        <f t="shared" ref="G51:G56" si="0">E51*F51</f>
        <v>1627.0137</v>
      </c>
      <c r="H51" s="904"/>
      <c r="I51" s="403"/>
    </row>
    <row r="52" spans="1:10" x14ac:dyDescent="0.2">
      <c r="A52" s="192" t="s">
        <v>275</v>
      </c>
      <c r="B52" s="335" t="str">
        <f>IF(C52="","",$B$49&amp;"."&amp;COUNT($F$50:F52))</f>
        <v>2.1.2</v>
      </c>
      <c r="C52" s="189" t="s">
        <v>33</v>
      </c>
      <c r="D52" s="193" t="s">
        <v>1</v>
      </c>
      <c r="E52" s="1090">
        <f>SUMIFS('2. DADOS DE ENTRADA'!C:C,'2. DADOS DE ENTRADA'!A:A,'9. TRANS. DEST. FINAL CS'!A52,'2. DADOS DE ENTRADA'!B:B,'9. TRANS. DEST. FINAL CS'!$C$49)</f>
        <v>0</v>
      </c>
      <c r="F52" s="858">
        <f>G51</f>
        <v>1627.0137</v>
      </c>
      <c r="G52" s="858">
        <f t="shared" si="0"/>
        <v>0</v>
      </c>
      <c r="H52" s="904"/>
      <c r="I52" s="403"/>
    </row>
    <row r="53" spans="1:10" x14ac:dyDescent="0.2">
      <c r="A53" s="192" t="s">
        <v>88</v>
      </c>
      <c r="B53" s="335" t="str">
        <f>IF(C53="","",$B$49&amp;"."&amp;COUNT($F$50:F53))</f>
        <v>2.1.3</v>
      </c>
      <c r="C53" s="189" t="s">
        <v>22</v>
      </c>
      <c r="D53" s="193" t="s">
        <v>1</v>
      </c>
      <c r="E53" s="1090">
        <f>SUMIFS('2. DADOS DE ENTRADA'!C:C,'2. DADOS DE ENTRADA'!A:A,'9. TRANS. DEST. FINAL CS'!A53,'2. DADOS DE ENTRADA'!B:B,'9. TRANS. DEST. FINAL CS'!$C$49)</f>
        <v>0.4</v>
      </c>
      <c r="F53" s="858">
        <f>'3. PREÇOS UNITÁRIOS'!D21</f>
        <v>1412</v>
      </c>
      <c r="G53" s="858">
        <f t="shared" si="0"/>
        <v>564.80000000000007</v>
      </c>
      <c r="H53" s="904"/>
      <c r="I53" s="403"/>
      <c r="J53" s="224"/>
    </row>
    <row r="54" spans="1:10" ht="15" x14ac:dyDescent="0.25">
      <c r="B54" s="335"/>
      <c r="C54" s="189"/>
      <c r="D54" s="193"/>
      <c r="E54" s="1090"/>
      <c r="F54" s="858"/>
      <c r="G54" s="861">
        <f>SUM(G51:G53)</f>
        <v>2191.8137000000002</v>
      </c>
      <c r="H54" s="904"/>
      <c r="I54" s="403"/>
      <c r="J54" s="224"/>
    </row>
    <row r="55" spans="1:10" x14ac:dyDescent="0.2">
      <c r="A55" s="192" t="s">
        <v>109</v>
      </c>
      <c r="B55" s="335" t="str">
        <f>IF(C55="","",$B$49&amp;"."&amp;COUNT($F$50:F55))</f>
        <v>2.1.4</v>
      </c>
      <c r="C55" s="189" t="s">
        <v>254</v>
      </c>
      <c r="D55" s="193" t="s">
        <v>35</v>
      </c>
      <c r="E55" s="862">
        <f>SUMIFS('2. DADOS DE ENTRADA'!D:D,'2. DADOS DE ENTRADA'!A:A,'9. TRANS. DEST. FINAL CS'!A55,'2. DADOS DE ENTRADA'!B:B,'9. TRANS. DEST. FINAL CS'!C49)</f>
        <v>0</v>
      </c>
      <c r="F55" s="858">
        <f>(G54/E51)*1.5</f>
        <v>27.397671250000002</v>
      </c>
      <c r="G55" s="858">
        <f t="shared" si="0"/>
        <v>0</v>
      </c>
      <c r="H55" s="884"/>
      <c r="I55" s="189"/>
    </row>
    <row r="56" spans="1:10" x14ac:dyDescent="0.2">
      <c r="A56" s="204" t="s">
        <v>95</v>
      </c>
      <c r="B56" s="335" t="str">
        <f>IF(C56="","",$B$49&amp;"."&amp;COUNT($F$50:F56))</f>
        <v>2.1.5</v>
      </c>
      <c r="C56" s="189" t="s">
        <v>255</v>
      </c>
      <c r="D56" s="193" t="s">
        <v>35</v>
      </c>
      <c r="E56" s="862">
        <f>SUMIFS('2. DADOS DE ENTRADA'!D:D,'2. DADOS DE ENTRADA'!A:A,'9. TRANS. DEST. FINAL CS'!A56,'2. DADOS DE ENTRADA'!B:B,'9. TRANS. DEST. FINAL CS'!C49)</f>
        <v>0</v>
      </c>
      <c r="F56" s="858">
        <f>(G54/E51)*2</f>
        <v>36.530228333333334</v>
      </c>
      <c r="G56" s="858">
        <f t="shared" si="0"/>
        <v>0</v>
      </c>
      <c r="H56" s="884"/>
      <c r="I56" s="189"/>
    </row>
    <row r="57" spans="1:10" ht="15" x14ac:dyDescent="0.25">
      <c r="A57" s="379"/>
      <c r="B57" s="523" t="str">
        <f>IF(C57="","",$B$49&amp;"."&amp;COUNT($F$50:F57))</f>
        <v/>
      </c>
      <c r="C57" s="524"/>
      <c r="D57" s="524"/>
      <c r="E57" s="1069"/>
      <c r="F57" s="1070" t="s">
        <v>352</v>
      </c>
      <c r="G57" s="1071">
        <f>G54+G55+G56</f>
        <v>2191.8137000000002</v>
      </c>
      <c r="H57" s="1072"/>
      <c r="I57" s="189"/>
    </row>
    <row r="58" spans="1:10" x14ac:dyDescent="0.2">
      <c r="A58" s="192" t="s">
        <v>273</v>
      </c>
      <c r="B58" s="335" t="str">
        <f>IF(C58="","",$B$49&amp;"."&amp;COUNT($F$50:F58))</f>
        <v>2.1.6</v>
      </c>
      <c r="C58" s="189" t="s">
        <v>23</v>
      </c>
      <c r="D58" s="193" t="s">
        <v>1</v>
      </c>
      <c r="E58" s="903">
        <f>SUMIFS('2. DADOS DE ENTRADA'!C:C,'2. DADOS DE ENTRADA'!A:A,'9. TRANS. DEST. FINAL CS'!A58,'2. DADOS DE ENTRADA'!B:B,'9. TRANS. DEST. FINAL CS'!$C$49)</f>
        <v>0.71101040000000004</v>
      </c>
      <c r="F58" s="863">
        <f>G57</f>
        <v>2191.8137000000002</v>
      </c>
      <c r="G58" s="863">
        <f>(E58)*F58</f>
        <v>1558.4023355624802</v>
      </c>
      <c r="H58" s="904"/>
      <c r="I58" s="403"/>
    </row>
    <row r="59" spans="1:10" ht="15" x14ac:dyDescent="0.25">
      <c r="A59" s="379"/>
      <c r="B59" s="523" t="str">
        <f>IF(C59="","",$B$49&amp;"."&amp;COUNT($F$50:F59))</f>
        <v/>
      </c>
      <c r="C59" s="524"/>
      <c r="D59" s="524"/>
      <c r="E59" s="1069"/>
      <c r="F59" s="1070" t="s">
        <v>352</v>
      </c>
      <c r="G59" s="1071">
        <f>G58+G57</f>
        <v>3750.2160355624801</v>
      </c>
      <c r="H59" s="1072"/>
      <c r="I59" s="357"/>
    </row>
    <row r="60" spans="1:10" s="192" customFormat="1" ht="28.5" x14ac:dyDescent="0.2">
      <c r="A60" s="379" t="s">
        <v>92</v>
      </c>
      <c r="B60" s="335" t="str">
        <f>IF(C60="","",$B$49&amp;"."&amp;COUNT($F$50:F60))</f>
        <v>2.1.7</v>
      </c>
      <c r="C60" s="189" t="s">
        <v>396</v>
      </c>
      <c r="D60" s="193" t="s">
        <v>25</v>
      </c>
      <c r="E60" s="862">
        <f>E50</f>
        <v>0</v>
      </c>
      <c r="F60" s="1091">
        <f>G59</f>
        <v>3750.2160355624801</v>
      </c>
      <c r="G60" s="858">
        <f>F60*E60</f>
        <v>0</v>
      </c>
      <c r="H60" s="905"/>
      <c r="I60" s="357"/>
    </row>
    <row r="61" spans="1:10" x14ac:dyDescent="0.2">
      <c r="A61" s="192" t="s">
        <v>104</v>
      </c>
      <c r="B61" s="335" t="str">
        <f>IF(C61="","",$B$49&amp;"."&amp;COUNT($F$50:F61))</f>
        <v>2.1.8</v>
      </c>
      <c r="C61" s="192" t="s">
        <v>29</v>
      </c>
      <c r="D61" s="190" t="s">
        <v>4</v>
      </c>
      <c r="E61" s="870">
        <f>SUMIFS('2. DADOS DE ENTRADA'!C:C,'2. DADOS DE ENTRADA'!A:A,'9. TRANS. DEST. FINAL CS'!A61,'2. DADOS DE ENTRADA'!B:B,'9. TRANS. DEST. FINAL CS'!$C$49)</f>
        <v>26</v>
      </c>
      <c r="F61" s="858">
        <f>'3. PREÇOS UNITÁRIOS'!D27/'9. TRANS. DEST. FINAL CS'!E61</f>
        <v>12.594230769230769</v>
      </c>
      <c r="G61" s="858">
        <f>E61*F61</f>
        <v>327.45</v>
      </c>
      <c r="H61" s="871"/>
      <c r="I61" s="357"/>
    </row>
    <row r="62" spans="1:10" x14ac:dyDescent="0.2">
      <c r="B62" s="335" t="str">
        <f>IF(C62="","",$B$49&amp;"."&amp;COUNT($F$50:F62))</f>
        <v>2.1.9</v>
      </c>
      <c r="C62" s="192" t="s">
        <v>395</v>
      </c>
      <c r="D62" s="190" t="s">
        <v>25</v>
      </c>
      <c r="E62" s="870">
        <f>E50</f>
        <v>0</v>
      </c>
      <c r="F62" s="858">
        <f>G61</f>
        <v>327.45</v>
      </c>
      <c r="G62" s="858">
        <f>E62*F62</f>
        <v>0</v>
      </c>
      <c r="H62" s="871"/>
      <c r="I62" s="357"/>
    </row>
    <row r="63" spans="1:10" x14ac:dyDescent="0.2">
      <c r="B63" s="335" t="str">
        <f>IF(C63="","",$B$49&amp;"."&amp;COUNT($F$50:F63))</f>
        <v>2.1.10</v>
      </c>
      <c r="C63" s="192" t="s">
        <v>638</v>
      </c>
      <c r="D63" s="190" t="s">
        <v>25</v>
      </c>
      <c r="E63" s="870">
        <f>E62</f>
        <v>0</v>
      </c>
      <c r="F63" s="858">
        <f>'3. PREÇOS UNITÁRIOS'!D29</f>
        <v>40</v>
      </c>
      <c r="G63" s="858">
        <f>F63*E63</f>
        <v>0</v>
      </c>
      <c r="H63" s="871"/>
      <c r="I63" s="357"/>
    </row>
    <row r="64" spans="1:10" ht="15" x14ac:dyDescent="0.25">
      <c r="A64" s="379"/>
      <c r="B64" s="528" t="str">
        <f>IF(C64="","",$B$49&amp;"."&amp;COUNT($F$51:F65))</f>
        <v/>
      </c>
      <c r="C64" s="537"/>
      <c r="D64" s="537"/>
      <c r="E64" s="1092"/>
      <c r="F64" s="1074" t="s">
        <v>286</v>
      </c>
      <c r="G64" s="1075">
        <f>G60+G62+G63</f>
        <v>0</v>
      </c>
      <c r="H64" s="1093"/>
      <c r="I64" s="357"/>
    </row>
    <row r="65" spans="1:9" x14ac:dyDescent="0.2">
      <c r="B65" s="335"/>
      <c r="D65" s="190"/>
      <c r="E65" s="857"/>
      <c r="F65" s="901"/>
      <c r="G65" s="901"/>
      <c r="H65" s="859"/>
      <c r="I65" s="357"/>
    </row>
    <row r="66" spans="1:9" ht="15" x14ac:dyDescent="0.25">
      <c r="B66" s="497" t="s">
        <v>93</v>
      </c>
      <c r="C66" s="498" t="s">
        <v>261</v>
      </c>
      <c r="D66" s="499"/>
      <c r="E66" s="1088"/>
      <c r="F66" s="1088"/>
      <c r="G66" s="1088"/>
      <c r="H66" s="1089"/>
      <c r="I66" s="357"/>
    </row>
    <row r="67" spans="1:9" x14ac:dyDescent="0.2">
      <c r="A67" s="192" t="s">
        <v>92</v>
      </c>
      <c r="B67" s="335" t="str">
        <f>IF(C67="","",$B$66&amp;"."&amp;COUNT($F$67:F67))</f>
        <v>2.2.0</v>
      </c>
      <c r="C67" s="192" t="s">
        <v>261</v>
      </c>
      <c r="D67" s="190" t="s">
        <v>25</v>
      </c>
      <c r="E67" s="857">
        <f>SUMIFS('2. DADOS DE ENTRADA'!G:G,'2. DADOS DE ENTRADA'!A:A,'9. TRANS. DEST. FINAL CS'!A67,'2. DADOS DE ENTRADA'!B:B,'9. TRANS. DEST. FINAL CS'!C66)</f>
        <v>0.1</v>
      </c>
      <c r="F67" s="901"/>
      <c r="G67" s="901"/>
      <c r="H67" s="859"/>
      <c r="I67" s="357"/>
    </row>
    <row r="68" spans="1:9" x14ac:dyDescent="0.2">
      <c r="A68" s="192" t="s">
        <v>96</v>
      </c>
      <c r="B68" s="335" t="str">
        <f>IF(C68="","",$B$66&amp;"."&amp;COUNT($F$67:F68))</f>
        <v>2.2.1</v>
      </c>
      <c r="C68" s="192" t="s">
        <v>20</v>
      </c>
      <c r="D68" s="190" t="s">
        <v>21</v>
      </c>
      <c r="E68" s="857">
        <f>SUMIFS('2. DADOS DE ENTRADA'!C:C,'2. DADOS DE ENTRADA'!A:A,'9. TRANS. DEST. FINAL CS'!A68,'2. DADOS DE ENTRADA'!B:B,'9. TRANS. DEST. FINAL CS'!$C$66)</f>
        <v>120</v>
      </c>
      <c r="F68" s="858">
        <f>'3. PREÇOS UNITÁRIOS'!D25/'9. TRANS. DEST. FINAL CS'!E68</f>
        <v>13.5584475</v>
      </c>
      <c r="G68" s="858">
        <f t="shared" ref="G68:G73" si="1">E68*F68</f>
        <v>1627.0137</v>
      </c>
      <c r="H68" s="859"/>
      <c r="I68" s="357"/>
    </row>
    <row r="69" spans="1:9" x14ac:dyDescent="0.2">
      <c r="A69" s="192" t="s">
        <v>275</v>
      </c>
      <c r="B69" s="335" t="str">
        <f>IF(C69="","",$B$66&amp;"."&amp;COUNT($F$67:F69))</f>
        <v>2.2.2</v>
      </c>
      <c r="C69" s="192" t="s">
        <v>33</v>
      </c>
      <c r="D69" s="190" t="s">
        <v>1</v>
      </c>
      <c r="E69" s="902">
        <f>SUMIFS('2. DADOS DE ENTRADA'!C:C,'2. DADOS DE ENTRADA'!A:A,'9. TRANS. DEST. FINAL CS'!A69,'2. DADOS DE ENTRADA'!B:B,'9. TRANS. DEST. FINAL CS'!$C$66)</f>
        <v>0</v>
      </c>
      <c r="F69" s="858">
        <f>G68</f>
        <v>1627.0137</v>
      </c>
      <c r="G69" s="858">
        <f t="shared" si="1"/>
        <v>0</v>
      </c>
      <c r="H69" s="859"/>
      <c r="I69" s="357"/>
    </row>
    <row r="70" spans="1:9" x14ac:dyDescent="0.2">
      <c r="A70" s="192" t="s">
        <v>88</v>
      </c>
      <c r="B70" s="335" t="str">
        <f>IF(C70="","",$B$66&amp;"."&amp;COUNT($F$67:F70))</f>
        <v>2.2.3</v>
      </c>
      <c r="C70" s="192" t="s">
        <v>22</v>
      </c>
      <c r="D70" s="190" t="s">
        <v>1</v>
      </c>
      <c r="E70" s="902">
        <f>SUMIFS('2. DADOS DE ENTRADA'!C:C,'2. DADOS DE ENTRADA'!A:A,'9. TRANS. DEST. FINAL CS'!A70,'2. DADOS DE ENTRADA'!B:B,'9. TRANS. DEST. FINAL CS'!$C$66)</f>
        <v>0.4</v>
      </c>
      <c r="F70" s="858">
        <f>'3. PREÇOS UNITÁRIOS'!D21</f>
        <v>1412</v>
      </c>
      <c r="G70" s="858">
        <f t="shared" si="1"/>
        <v>564.80000000000007</v>
      </c>
      <c r="H70" s="859"/>
      <c r="I70" s="357"/>
    </row>
    <row r="71" spans="1:9" ht="15" x14ac:dyDescent="0.25">
      <c r="B71" s="335"/>
      <c r="D71" s="190"/>
      <c r="E71" s="902"/>
      <c r="F71" s="858"/>
      <c r="G71" s="861">
        <f>SUM(G68:G70)</f>
        <v>2191.8137000000002</v>
      </c>
      <c r="H71" s="859"/>
      <c r="I71" s="357"/>
    </row>
    <row r="72" spans="1:9" x14ac:dyDescent="0.2">
      <c r="A72" s="192" t="s">
        <v>109</v>
      </c>
      <c r="B72" s="335" t="str">
        <f>IF(C72="","",$B$66&amp;"."&amp;COUNT($F$67:F72))</f>
        <v>2.2.4</v>
      </c>
      <c r="C72" s="189" t="s">
        <v>254</v>
      </c>
      <c r="D72" s="193" t="s">
        <v>35</v>
      </c>
      <c r="E72" s="862">
        <f>SUMIFS('2. DADOS DE ENTRADA'!D:D,'2. DADOS DE ENTRADA'!A:A,'9. TRANS. DEST. FINAL CS'!A72,'2. DADOS DE ENTRADA'!B:B,'9. TRANS. DEST. FINAL CS'!C66)*E67</f>
        <v>0</v>
      </c>
      <c r="F72" s="858">
        <f>(G71/E68)*1.5</f>
        <v>27.397671250000002</v>
      </c>
      <c r="G72" s="858">
        <f t="shared" si="1"/>
        <v>0</v>
      </c>
      <c r="H72" s="884"/>
      <c r="I72" s="403"/>
    </row>
    <row r="73" spans="1:9" x14ac:dyDescent="0.2">
      <c r="A73" s="204" t="s">
        <v>95</v>
      </c>
      <c r="B73" s="335" t="str">
        <f>IF(C73="","",$B$66&amp;"."&amp;COUNT($F$67:F73))</f>
        <v>2.2.5</v>
      </c>
      <c r="C73" s="189" t="s">
        <v>255</v>
      </c>
      <c r="D73" s="193" t="s">
        <v>35</v>
      </c>
      <c r="E73" s="862">
        <f>SUMIFS('2. DADOS DE ENTRADA'!D:D,'2. DADOS DE ENTRADA'!A:A,'9. TRANS. DEST. FINAL CS'!A73,'2. DADOS DE ENTRADA'!B:B,'9. TRANS. DEST. FINAL CS'!C66)*E67</f>
        <v>0</v>
      </c>
      <c r="F73" s="858">
        <f>(G71/E68)*2</f>
        <v>36.530228333333334</v>
      </c>
      <c r="G73" s="858">
        <f t="shared" si="1"/>
        <v>0</v>
      </c>
      <c r="H73" s="884"/>
      <c r="I73" s="403"/>
    </row>
    <row r="74" spans="1:9" ht="15" x14ac:dyDescent="0.25">
      <c r="A74" s="379"/>
      <c r="B74" s="523" t="str">
        <f>IF(C74="","",$B$66&amp;"."&amp;COUNT($F$67:F74))</f>
        <v/>
      </c>
      <c r="C74" s="524"/>
      <c r="D74" s="524"/>
      <c r="E74" s="1069"/>
      <c r="F74" s="1070" t="s">
        <v>352</v>
      </c>
      <c r="G74" s="1071">
        <f>G71+G72+G73</f>
        <v>2191.8137000000002</v>
      </c>
      <c r="H74" s="1072"/>
      <c r="I74" s="403"/>
    </row>
    <row r="75" spans="1:9" x14ac:dyDescent="0.2">
      <c r="A75" s="192" t="s">
        <v>273</v>
      </c>
      <c r="B75" s="335" t="str">
        <f>IF(C75="","",$B$66&amp;"."&amp;COUNT($F$67:F75))</f>
        <v>2.2.6</v>
      </c>
      <c r="C75" s="189" t="s">
        <v>23</v>
      </c>
      <c r="D75" s="193" t="s">
        <v>1</v>
      </c>
      <c r="E75" s="903">
        <f>SUMIFS('2. DADOS DE ENTRADA'!C:C,'2. DADOS DE ENTRADA'!A:A,'9. TRANS. DEST. FINAL CS'!A75,'2. DADOS DE ENTRADA'!B:B,'9. TRANS. DEST. FINAL CS'!$C$66)</f>
        <v>0.71101040000000004</v>
      </c>
      <c r="F75" s="858">
        <f>G74</f>
        <v>2191.8137000000002</v>
      </c>
      <c r="G75" s="858">
        <f>(E75)*F75</f>
        <v>1558.4023355624802</v>
      </c>
      <c r="H75" s="904"/>
      <c r="I75" s="403"/>
    </row>
    <row r="76" spans="1:9" ht="15" x14ac:dyDescent="0.25">
      <c r="A76" s="379"/>
      <c r="B76" s="523" t="str">
        <f>IF(C76="","",$B$66&amp;"."&amp;COUNT($F$67:F76))</f>
        <v/>
      </c>
      <c r="C76" s="524"/>
      <c r="D76" s="524"/>
      <c r="E76" s="1069"/>
      <c r="F76" s="1070" t="s">
        <v>352</v>
      </c>
      <c r="G76" s="1071">
        <f>G74+G75</f>
        <v>3750.2160355624801</v>
      </c>
      <c r="H76" s="1072"/>
      <c r="I76" s="357"/>
    </row>
    <row r="77" spans="1:9" s="192" customFormat="1" x14ac:dyDescent="0.2">
      <c r="A77" s="379"/>
      <c r="B77" s="335" t="str">
        <f>IF(C77="","",$B$66&amp;"."&amp;COUNT($F$67:F77))</f>
        <v>2.2.7</v>
      </c>
      <c r="C77" s="189" t="s">
        <v>397</v>
      </c>
      <c r="D77" s="193" t="s">
        <v>25</v>
      </c>
      <c r="E77" s="1094">
        <f>E67</f>
        <v>0.1</v>
      </c>
      <c r="F77" s="858">
        <f>G76</f>
        <v>3750.2160355624801</v>
      </c>
      <c r="G77" s="858">
        <f>F77*E77</f>
        <v>375.02160355624801</v>
      </c>
      <c r="H77" s="905"/>
      <c r="I77" s="357"/>
    </row>
    <row r="78" spans="1:9" s="192" customFormat="1" x14ac:dyDescent="0.2">
      <c r="A78" s="192" t="s">
        <v>104</v>
      </c>
      <c r="B78" s="335" t="str">
        <f>IF(C78="","",$B$66&amp;"."&amp;COUNT($F$67:F78))</f>
        <v>2.2.8</v>
      </c>
      <c r="C78" s="192" t="s">
        <v>29</v>
      </c>
      <c r="D78" s="190" t="s">
        <v>4</v>
      </c>
      <c r="E78" s="870">
        <f>SUMIFS('2. DADOS DE ENTRADA'!C:C,'2. DADOS DE ENTRADA'!A:A,'9. TRANS. DEST. FINAL CS'!A78,'2. DADOS DE ENTRADA'!B:B,'9. TRANS. DEST. FINAL CS'!$C$66)</f>
        <v>26</v>
      </c>
      <c r="F78" s="858">
        <f>'3. PREÇOS UNITÁRIOS'!D27/'9. TRANS. DEST. FINAL CS'!E78</f>
        <v>12.594230769230769</v>
      </c>
      <c r="G78" s="858">
        <f>E78*F78</f>
        <v>327.45</v>
      </c>
      <c r="H78" s="871"/>
      <c r="I78" s="357"/>
    </row>
    <row r="79" spans="1:9" x14ac:dyDescent="0.2">
      <c r="A79" s="189"/>
      <c r="B79" s="335" t="str">
        <f>IF(C79="","",$B$66&amp;"."&amp;COUNT($F$67:F79))</f>
        <v>2.2.9</v>
      </c>
      <c r="C79" s="189" t="s">
        <v>397</v>
      </c>
      <c r="D79" s="193" t="s">
        <v>25</v>
      </c>
      <c r="E79" s="862">
        <f>E67</f>
        <v>0.1</v>
      </c>
      <c r="F79" s="858">
        <f>G78</f>
        <v>327.45</v>
      </c>
      <c r="G79" s="858">
        <f>E79*F79</f>
        <v>32.744999999999997</v>
      </c>
      <c r="H79" s="871"/>
      <c r="I79" s="357"/>
    </row>
    <row r="80" spans="1:9" x14ac:dyDescent="0.2">
      <c r="A80" s="189"/>
      <c r="B80" s="335" t="str">
        <f>IF(C80="","",$B$66&amp;"."&amp;COUNT($F$67:F80))</f>
        <v>2.2.10</v>
      </c>
      <c r="C80" s="192" t="s">
        <v>638</v>
      </c>
      <c r="D80" s="190" t="s">
        <v>25</v>
      </c>
      <c r="E80" s="870">
        <f>E79</f>
        <v>0.1</v>
      </c>
      <c r="F80" s="858">
        <f>'3. PREÇOS UNITÁRIOS'!D29</f>
        <v>40</v>
      </c>
      <c r="G80" s="858">
        <f>F80*E80</f>
        <v>4</v>
      </c>
      <c r="H80" s="871"/>
      <c r="I80" s="357"/>
    </row>
    <row r="81" spans="2:9" ht="15" x14ac:dyDescent="0.25">
      <c r="B81" s="540"/>
      <c r="C81" s="529"/>
      <c r="D81" s="529"/>
      <c r="E81" s="1073"/>
      <c r="F81" s="1074" t="s">
        <v>287</v>
      </c>
      <c r="G81" s="1075">
        <f>G77+G79+G80</f>
        <v>411.76660355624801</v>
      </c>
      <c r="H81" s="1076"/>
      <c r="I81" s="357"/>
    </row>
    <row r="82" spans="2:9" ht="15" x14ac:dyDescent="0.2">
      <c r="B82" s="501"/>
      <c r="C82" s="502"/>
      <c r="D82" s="502"/>
      <c r="E82" s="1095" t="s">
        <v>37</v>
      </c>
      <c r="F82" s="1095"/>
      <c r="G82" s="1048">
        <f>G81+G64</f>
        <v>411.76660355624801</v>
      </c>
      <c r="H82" s="1096"/>
      <c r="I82" s="357"/>
    </row>
    <row r="83" spans="2:9" s="192" customFormat="1" ht="15" x14ac:dyDescent="0.2">
      <c r="B83" s="322"/>
      <c r="C83" s="154"/>
      <c r="D83" s="154"/>
      <c r="E83" s="1012"/>
      <c r="F83" s="1012"/>
      <c r="G83" s="933"/>
      <c r="H83" s="1013"/>
      <c r="I83" s="357"/>
    </row>
    <row r="84" spans="2:9" x14ac:dyDescent="0.2">
      <c r="B84" s="335"/>
      <c r="D84" s="190"/>
      <c r="E84" s="857"/>
      <c r="F84" s="901"/>
      <c r="G84" s="901"/>
      <c r="H84" s="859"/>
      <c r="I84" s="357"/>
    </row>
    <row r="85" spans="2:9" ht="15" x14ac:dyDescent="0.2">
      <c r="B85" s="420" t="s">
        <v>17</v>
      </c>
      <c r="C85" s="421" t="s">
        <v>39</v>
      </c>
      <c r="D85" s="422"/>
      <c r="E85" s="1041"/>
      <c r="F85" s="1041"/>
      <c r="G85" s="1041"/>
      <c r="H85" s="1042"/>
    </row>
    <row r="86" spans="2:9" ht="15" x14ac:dyDescent="0.2">
      <c r="B86" s="284"/>
      <c r="C86" s="285"/>
      <c r="D86" s="286"/>
      <c r="E86" s="895"/>
      <c r="F86" s="895"/>
      <c r="G86" s="895"/>
      <c r="H86" s="896"/>
    </row>
    <row r="87" spans="2:9" ht="15" x14ac:dyDescent="0.2">
      <c r="B87" s="420" t="s">
        <v>7</v>
      </c>
      <c r="C87" s="422" t="s">
        <v>8</v>
      </c>
      <c r="D87" s="422" t="s">
        <v>9</v>
      </c>
      <c r="E87" s="1041" t="s">
        <v>10</v>
      </c>
      <c r="F87" s="1041" t="s">
        <v>11</v>
      </c>
      <c r="G87" s="1041" t="s">
        <v>12</v>
      </c>
      <c r="H87" s="1042"/>
      <c r="I87" s="190"/>
    </row>
    <row r="88" spans="2:9" ht="30" x14ac:dyDescent="0.25">
      <c r="B88" s="482" t="s">
        <v>109</v>
      </c>
      <c r="C88" s="483" t="s">
        <v>40</v>
      </c>
      <c r="D88" s="484"/>
      <c r="E88" s="1097"/>
      <c r="F88" s="1097"/>
      <c r="G88" s="1097"/>
      <c r="H88" s="1098"/>
    </row>
    <row r="89" spans="2:9" x14ac:dyDescent="0.2">
      <c r="B89" s="335"/>
      <c r="E89" s="881"/>
      <c r="F89" s="881"/>
      <c r="G89" s="881"/>
      <c r="H89" s="871"/>
    </row>
    <row r="90" spans="2:9" ht="15" x14ac:dyDescent="0.25">
      <c r="B90" s="497" t="s">
        <v>108</v>
      </c>
      <c r="C90" s="498" t="s">
        <v>97</v>
      </c>
      <c r="D90" s="499"/>
      <c r="E90" s="1088"/>
      <c r="F90" s="1088"/>
      <c r="G90" s="1088"/>
      <c r="H90" s="1089"/>
    </row>
    <row r="91" spans="2:9" x14ac:dyDescent="0.2">
      <c r="B91" s="335" t="s">
        <v>289</v>
      </c>
      <c r="C91" s="363" t="s">
        <v>41</v>
      </c>
      <c r="D91" s="364" t="s">
        <v>4</v>
      </c>
      <c r="E91" s="922">
        <f t="array" ref="E91:E97">TRANSPOSE('2. DADOS DE ENTRADA'!C179:I179)</f>
        <v>0.10767499999999999</v>
      </c>
      <c r="F91" s="923">
        <f>'3. PREÇOS UNITÁRIOS'!D10</f>
        <v>81.787999999999997</v>
      </c>
      <c r="G91" s="923">
        <f>F91*E91</f>
        <v>8.8065228999999992</v>
      </c>
      <c r="H91" s="913"/>
      <c r="I91" s="189"/>
    </row>
    <row r="92" spans="2:9" x14ac:dyDescent="0.2">
      <c r="B92" s="335" t="s">
        <v>372</v>
      </c>
      <c r="C92" s="192" t="s">
        <v>42</v>
      </c>
      <c r="D92" s="190" t="s">
        <v>4</v>
      </c>
      <c r="E92" s="924">
        <v>0.10767499999999999</v>
      </c>
      <c r="F92" s="858">
        <f>'3. PREÇOS UNITÁRIOS'!D11</f>
        <v>35.25</v>
      </c>
      <c r="G92" s="858">
        <f t="shared" ref="G92:G97" si="2">F92*E92</f>
        <v>3.7955437499999998</v>
      </c>
      <c r="H92" s="859"/>
      <c r="I92" s="189"/>
    </row>
    <row r="93" spans="2:9" x14ac:dyDescent="0.2">
      <c r="B93" s="335" t="s">
        <v>373</v>
      </c>
      <c r="C93" s="192" t="s">
        <v>43</v>
      </c>
      <c r="D93" s="190" t="s">
        <v>4</v>
      </c>
      <c r="E93" s="924">
        <v>0.10767499999999999</v>
      </c>
      <c r="F93" s="858">
        <f>'3. PREÇOS UNITÁRIOS'!D12</f>
        <v>70.696666666666673</v>
      </c>
      <c r="G93" s="858">
        <f t="shared" si="2"/>
        <v>7.6122635833333332</v>
      </c>
      <c r="H93" s="859"/>
      <c r="I93" s="189"/>
    </row>
    <row r="94" spans="2:9" x14ac:dyDescent="0.2">
      <c r="B94" s="335" t="s">
        <v>374</v>
      </c>
      <c r="C94" s="192" t="s">
        <v>46</v>
      </c>
      <c r="D94" s="190" t="s">
        <v>4</v>
      </c>
      <c r="E94" s="924">
        <v>5.3837499999999996E-2</v>
      </c>
      <c r="F94" s="858">
        <f>'3. PREÇOS UNITÁRIOS'!D13</f>
        <v>13.563333333333333</v>
      </c>
      <c r="G94" s="858">
        <f t="shared" si="2"/>
        <v>0.73021595833333319</v>
      </c>
      <c r="H94" s="859"/>
      <c r="I94" s="189"/>
    </row>
    <row r="95" spans="2:9" x14ac:dyDescent="0.2">
      <c r="B95" s="335" t="s">
        <v>375</v>
      </c>
      <c r="C95" s="189" t="s">
        <v>84</v>
      </c>
      <c r="D95" s="190" t="s">
        <v>4</v>
      </c>
      <c r="E95" s="924">
        <v>0</v>
      </c>
      <c r="F95" s="858">
        <f>'3. PREÇOS UNITÁRIOS'!D15</f>
        <v>98.023333333333326</v>
      </c>
      <c r="G95" s="858">
        <f t="shared" si="2"/>
        <v>0</v>
      </c>
      <c r="H95" s="859"/>
      <c r="I95" s="189"/>
    </row>
    <row r="96" spans="2:9" x14ac:dyDescent="0.2">
      <c r="B96" s="335" t="s">
        <v>376</v>
      </c>
      <c r="C96" s="192" t="s">
        <v>116</v>
      </c>
      <c r="D96" s="190" t="s">
        <v>4</v>
      </c>
      <c r="E96" s="924">
        <v>7.1065500000000004E-2</v>
      </c>
      <c r="F96" s="858">
        <f>'3. PREÇOS UNITÁRIOS'!D17</f>
        <v>6.7633333333333328</v>
      </c>
      <c r="G96" s="858">
        <f t="shared" si="2"/>
        <v>0.48063966499999999</v>
      </c>
      <c r="H96" s="859"/>
      <c r="I96" s="189"/>
    </row>
    <row r="97" spans="2:9" x14ac:dyDescent="0.2">
      <c r="B97" s="335" t="s">
        <v>377</v>
      </c>
      <c r="C97" s="192" t="s">
        <v>117</v>
      </c>
      <c r="D97" s="190" t="s">
        <v>4</v>
      </c>
      <c r="E97" s="924">
        <v>0.21534999999999999</v>
      </c>
      <c r="F97" s="858">
        <f>'3. PREÇOS UNITÁRIOS'!D18</f>
        <v>26.297499999999999</v>
      </c>
      <c r="G97" s="858">
        <f t="shared" si="2"/>
        <v>5.6631666249999997</v>
      </c>
      <c r="H97" s="859"/>
      <c r="I97" s="189"/>
    </row>
    <row r="98" spans="2:9" ht="15" x14ac:dyDescent="0.25">
      <c r="B98" s="541"/>
      <c r="C98" s="529"/>
      <c r="D98" s="529"/>
      <c r="E98" s="1073"/>
      <c r="F98" s="1074" t="s">
        <v>36</v>
      </c>
      <c r="G98" s="1075">
        <f>SUM(G91:G97)</f>
        <v>27.088352481666664</v>
      </c>
      <c r="H98" s="1076"/>
      <c r="I98" s="357"/>
    </row>
    <row r="99" spans="2:9" x14ac:dyDescent="0.2">
      <c r="B99" s="335"/>
      <c r="E99" s="881"/>
      <c r="F99" s="881"/>
      <c r="G99" s="881"/>
      <c r="H99" s="871"/>
    </row>
    <row r="100" spans="2:9" ht="15" x14ac:dyDescent="0.25">
      <c r="B100" s="497" t="s">
        <v>75</v>
      </c>
      <c r="C100" s="498" t="s">
        <v>98</v>
      </c>
      <c r="D100" s="499"/>
      <c r="E100" s="1088"/>
      <c r="F100" s="1088"/>
      <c r="G100" s="1088"/>
      <c r="H100" s="1089"/>
    </row>
    <row r="101" spans="2:9" x14ac:dyDescent="0.2">
      <c r="B101" s="335" t="s">
        <v>290</v>
      </c>
      <c r="C101" s="363" t="s">
        <v>41</v>
      </c>
      <c r="D101" s="364" t="s">
        <v>4</v>
      </c>
      <c r="E101" s="922">
        <v>0</v>
      </c>
      <c r="F101" s="926">
        <f>'3. PREÇOS UNITÁRIOS'!D10</f>
        <v>81.787999999999997</v>
      </c>
      <c r="G101" s="923">
        <f>E101*F101</f>
        <v>0</v>
      </c>
      <c r="H101" s="913"/>
      <c r="I101" s="189"/>
    </row>
    <row r="102" spans="2:9" x14ac:dyDescent="0.2">
      <c r="B102" s="335" t="s">
        <v>378</v>
      </c>
      <c r="C102" s="192" t="s">
        <v>42</v>
      </c>
      <c r="D102" s="190" t="s">
        <v>4</v>
      </c>
      <c r="E102" s="924">
        <v>0</v>
      </c>
      <c r="F102" s="858">
        <f>'3. PREÇOS UNITÁRIOS'!D11</f>
        <v>35.25</v>
      </c>
      <c r="G102" s="858">
        <f t="shared" ref="G102:G108" si="3">E102*F102</f>
        <v>0</v>
      </c>
      <c r="H102" s="859"/>
      <c r="I102" s="189"/>
    </row>
    <row r="103" spans="2:9" x14ac:dyDescent="0.2">
      <c r="B103" s="335" t="s">
        <v>379</v>
      </c>
      <c r="C103" s="192" t="s">
        <v>43</v>
      </c>
      <c r="D103" s="190" t="s">
        <v>4</v>
      </c>
      <c r="E103" s="924">
        <v>0</v>
      </c>
      <c r="F103" s="927">
        <f>'3. PREÇOS UNITÁRIOS'!D12</f>
        <v>70.696666666666673</v>
      </c>
      <c r="G103" s="858">
        <f t="shared" si="3"/>
        <v>0</v>
      </c>
      <c r="H103" s="859"/>
      <c r="I103" s="189"/>
    </row>
    <row r="104" spans="2:9" x14ac:dyDescent="0.2">
      <c r="B104" s="335" t="s">
        <v>380</v>
      </c>
      <c r="C104" s="192" t="s">
        <v>46</v>
      </c>
      <c r="D104" s="190" t="s">
        <v>4</v>
      </c>
      <c r="E104" s="924">
        <v>0</v>
      </c>
      <c r="F104" s="927">
        <f>'3. PREÇOS UNITÁRIOS'!D13</f>
        <v>13.563333333333333</v>
      </c>
      <c r="G104" s="858">
        <f t="shared" si="3"/>
        <v>0</v>
      </c>
      <c r="H104" s="859"/>
      <c r="I104" s="189"/>
    </row>
    <row r="105" spans="2:9" x14ac:dyDescent="0.2">
      <c r="B105" s="335" t="s">
        <v>381</v>
      </c>
      <c r="C105" s="192" t="s">
        <v>44</v>
      </c>
      <c r="D105" s="190" t="s">
        <v>4</v>
      </c>
      <c r="E105" s="924">
        <v>0</v>
      </c>
      <c r="F105" s="927">
        <f>'3. PREÇOS UNITÁRIOS'!D14</f>
        <v>23.113333333333333</v>
      </c>
      <c r="G105" s="858">
        <f t="shared" si="3"/>
        <v>0</v>
      </c>
      <c r="H105" s="859"/>
      <c r="I105" s="189"/>
    </row>
    <row r="106" spans="2:9" x14ac:dyDescent="0.2">
      <c r="B106" s="335" t="s">
        <v>382</v>
      </c>
      <c r="C106" s="192" t="s">
        <v>84</v>
      </c>
      <c r="D106" s="190" t="s">
        <v>4</v>
      </c>
      <c r="E106" s="924">
        <v>0</v>
      </c>
      <c r="F106" s="927">
        <f>'3. PREÇOS UNITÁRIOS'!D15</f>
        <v>98.023333333333326</v>
      </c>
      <c r="G106" s="858">
        <f t="shared" si="3"/>
        <v>0</v>
      </c>
      <c r="H106" s="859"/>
      <c r="I106" s="189"/>
    </row>
    <row r="107" spans="2:9" x14ac:dyDescent="0.2">
      <c r="B107" s="335" t="s">
        <v>383</v>
      </c>
      <c r="C107" s="192" t="s">
        <v>116</v>
      </c>
      <c r="D107" s="190" t="s">
        <v>4</v>
      </c>
      <c r="E107" s="924">
        <v>0</v>
      </c>
      <c r="F107" s="927">
        <f>'3. PREÇOS UNITÁRIOS'!D17</f>
        <v>6.7633333333333328</v>
      </c>
      <c r="G107" s="858">
        <f t="shared" si="3"/>
        <v>0</v>
      </c>
      <c r="H107" s="859"/>
      <c r="I107" s="189"/>
    </row>
    <row r="108" spans="2:9" x14ac:dyDescent="0.2">
      <c r="B108" s="335" t="s">
        <v>384</v>
      </c>
      <c r="C108" s="192" t="s">
        <v>117</v>
      </c>
      <c r="D108" s="190" t="s">
        <v>4</v>
      </c>
      <c r="E108" s="924">
        <v>0</v>
      </c>
      <c r="F108" s="927">
        <f>'3. PREÇOS UNITÁRIOS'!D18</f>
        <v>26.297499999999999</v>
      </c>
      <c r="G108" s="858">
        <f t="shared" si="3"/>
        <v>0</v>
      </c>
      <c r="H108" s="859"/>
      <c r="I108" s="189"/>
    </row>
    <row r="109" spans="2:9" ht="15" x14ac:dyDescent="0.25">
      <c r="B109" s="541"/>
      <c r="C109" s="529"/>
      <c r="D109" s="529"/>
      <c r="E109" s="1092"/>
      <c r="F109" s="1074" t="s">
        <v>36</v>
      </c>
      <c r="G109" s="1075">
        <f>SUM(G101:G108)</f>
        <v>0</v>
      </c>
      <c r="H109" s="1076"/>
      <c r="I109" s="357"/>
    </row>
    <row r="110" spans="2:9" x14ac:dyDescent="0.2">
      <c r="B110" s="335"/>
      <c r="E110" s="924"/>
      <c r="F110" s="929"/>
      <c r="G110" s="858"/>
      <c r="H110" s="859"/>
      <c r="I110" s="357"/>
    </row>
    <row r="111" spans="2:9" ht="15" x14ac:dyDescent="0.25">
      <c r="B111" s="497" t="s">
        <v>107</v>
      </c>
      <c r="C111" s="498" t="s">
        <v>45</v>
      </c>
      <c r="D111" s="499"/>
      <c r="E111" s="1088"/>
      <c r="F111" s="1088"/>
      <c r="G111" s="1088"/>
      <c r="H111" s="1089"/>
      <c r="I111" s="357"/>
    </row>
    <row r="112" spans="2:9" x14ac:dyDescent="0.2">
      <c r="B112" s="335" t="s">
        <v>291</v>
      </c>
      <c r="C112" s="363" t="s">
        <v>41</v>
      </c>
      <c r="D112" s="364" t="s">
        <v>4</v>
      </c>
      <c r="E112" s="922">
        <v>0</v>
      </c>
      <c r="F112" s="926">
        <f>'3. PREÇOS UNITÁRIOS'!D10</f>
        <v>81.787999999999997</v>
      </c>
      <c r="G112" s="926">
        <f>E112*F112</f>
        <v>0</v>
      </c>
      <c r="H112" s="913"/>
      <c r="I112" s="189"/>
    </row>
    <row r="113" spans="2:15" x14ac:dyDescent="0.2">
      <c r="B113" s="335" t="s">
        <v>385</v>
      </c>
      <c r="C113" s="192" t="s">
        <v>42</v>
      </c>
      <c r="D113" s="190" t="s">
        <v>4</v>
      </c>
      <c r="E113" s="924">
        <v>0</v>
      </c>
      <c r="F113" s="927">
        <f>'3. PREÇOS UNITÁRIOS'!D11</f>
        <v>35.25</v>
      </c>
      <c r="G113" s="927">
        <f t="shared" ref="G113:G119" si="4">E113*F113</f>
        <v>0</v>
      </c>
      <c r="H113" s="859"/>
      <c r="I113" s="189"/>
    </row>
    <row r="114" spans="2:15" x14ac:dyDescent="0.2">
      <c r="B114" s="335" t="s">
        <v>386</v>
      </c>
      <c r="C114" s="192" t="s">
        <v>115</v>
      </c>
      <c r="D114" s="190" t="s">
        <v>4</v>
      </c>
      <c r="E114" s="924">
        <v>0</v>
      </c>
      <c r="F114" s="927">
        <f>'3. PREÇOS UNITÁRIOS'!D12</f>
        <v>70.696666666666673</v>
      </c>
      <c r="G114" s="927">
        <f t="shared" si="4"/>
        <v>0</v>
      </c>
      <c r="H114" s="859"/>
      <c r="I114" s="189"/>
    </row>
    <row r="115" spans="2:15" x14ac:dyDescent="0.2">
      <c r="B115" s="335" t="s">
        <v>387</v>
      </c>
      <c r="C115" s="192" t="s">
        <v>46</v>
      </c>
      <c r="D115" s="190" t="s">
        <v>4</v>
      </c>
      <c r="E115" s="924">
        <v>0</v>
      </c>
      <c r="F115" s="927">
        <f>'3. PREÇOS UNITÁRIOS'!D13</f>
        <v>13.563333333333333</v>
      </c>
      <c r="G115" s="927">
        <f t="shared" si="4"/>
        <v>0</v>
      </c>
      <c r="H115" s="859"/>
      <c r="I115" s="189"/>
    </row>
    <row r="116" spans="2:15" x14ac:dyDescent="0.2">
      <c r="B116" s="335" t="s">
        <v>388</v>
      </c>
      <c r="C116" s="192" t="s">
        <v>84</v>
      </c>
      <c r="D116" s="190" t="s">
        <v>4</v>
      </c>
      <c r="E116" s="924">
        <v>0</v>
      </c>
      <c r="F116" s="927">
        <f>'3. PREÇOS UNITÁRIOS'!D15</f>
        <v>98.023333333333326</v>
      </c>
      <c r="G116" s="927">
        <f t="shared" si="4"/>
        <v>0</v>
      </c>
      <c r="H116" s="859"/>
      <c r="I116" s="189"/>
    </row>
    <row r="117" spans="2:15" x14ac:dyDescent="0.2">
      <c r="B117" s="335" t="s">
        <v>389</v>
      </c>
      <c r="C117" s="192" t="s">
        <v>47</v>
      </c>
      <c r="D117" s="190" t="s">
        <v>4</v>
      </c>
      <c r="E117" s="924">
        <v>0</v>
      </c>
      <c r="F117" s="927">
        <f>'3. PREÇOS UNITÁRIOS'!D16</f>
        <v>14.2325</v>
      </c>
      <c r="G117" s="927">
        <f t="shared" si="4"/>
        <v>0</v>
      </c>
      <c r="H117" s="859"/>
      <c r="I117" s="189"/>
    </row>
    <row r="118" spans="2:15" x14ac:dyDescent="0.2">
      <c r="B118" s="335" t="s">
        <v>390</v>
      </c>
      <c r="C118" s="192" t="s">
        <v>116</v>
      </c>
      <c r="D118" s="190" t="s">
        <v>4</v>
      </c>
      <c r="E118" s="924">
        <v>0</v>
      </c>
      <c r="F118" s="927">
        <f>'3. PREÇOS UNITÁRIOS'!D17</f>
        <v>6.7633333333333328</v>
      </c>
      <c r="G118" s="927">
        <f t="shared" si="4"/>
        <v>0</v>
      </c>
      <c r="H118" s="859"/>
      <c r="I118" s="189"/>
    </row>
    <row r="119" spans="2:15" x14ac:dyDescent="0.2">
      <c r="B119" s="335" t="s">
        <v>391</v>
      </c>
      <c r="C119" s="354" t="s">
        <v>117</v>
      </c>
      <c r="D119" s="355" t="s">
        <v>4</v>
      </c>
      <c r="E119" s="925">
        <v>0</v>
      </c>
      <c r="F119" s="928">
        <f>'3. PREÇOS UNITÁRIOS'!D18</f>
        <v>26.297499999999999</v>
      </c>
      <c r="G119" s="928">
        <f t="shared" si="4"/>
        <v>0</v>
      </c>
      <c r="H119" s="892"/>
      <c r="I119" s="189"/>
    </row>
    <row r="120" spans="2:15" ht="15" x14ac:dyDescent="0.25">
      <c r="B120" s="570"/>
      <c r="C120" s="571"/>
      <c r="D120" s="571"/>
      <c r="E120" s="1149"/>
      <c r="F120" s="1070" t="s">
        <v>36</v>
      </c>
      <c r="G120" s="1071">
        <f>SUM(G112:G119)</f>
        <v>0</v>
      </c>
      <c r="H120" s="1150"/>
      <c r="I120" s="357"/>
    </row>
    <row r="121" spans="2:15" ht="15" x14ac:dyDescent="0.2">
      <c r="B121" s="448"/>
      <c r="C121" s="441"/>
      <c r="D121" s="441"/>
      <c r="E121" s="1048" t="s">
        <v>292</v>
      </c>
      <c r="F121" s="1048"/>
      <c r="G121" s="1048">
        <f>G120+G109+G98</f>
        <v>27.088352481666664</v>
      </c>
      <c r="H121" s="1099"/>
    </row>
    <row r="122" spans="2:15" s="192" customFormat="1" ht="15" x14ac:dyDescent="0.2">
      <c r="B122" s="302"/>
      <c r="C122" s="303"/>
      <c r="D122" s="303"/>
      <c r="E122" s="933"/>
      <c r="F122" s="933"/>
      <c r="G122" s="933"/>
      <c r="H122" s="934"/>
    </row>
    <row r="123" spans="2:15" s="192" customFormat="1" ht="15" x14ac:dyDescent="0.2">
      <c r="B123" s="505"/>
      <c r="C123" s="506"/>
      <c r="D123" s="506"/>
      <c r="E123" s="1100" t="s">
        <v>620</v>
      </c>
      <c r="F123" s="1100"/>
      <c r="G123" s="1100">
        <f>G82+G43+G121</f>
        <v>1586.9145775425779</v>
      </c>
      <c r="H123" s="1101"/>
    </row>
    <row r="124" spans="2:15" s="192" customFormat="1" ht="15" x14ac:dyDescent="0.2">
      <c r="B124" s="302"/>
      <c r="C124" s="303"/>
      <c r="D124" s="303"/>
      <c r="E124" s="933"/>
      <c r="F124" s="933"/>
      <c r="G124" s="933"/>
      <c r="H124" s="934"/>
    </row>
    <row r="125" spans="2:15" x14ac:dyDescent="0.2">
      <c r="B125" s="335"/>
      <c r="E125" s="857"/>
      <c r="F125" s="857"/>
      <c r="G125" s="881"/>
      <c r="H125" s="965"/>
      <c r="I125" s="391"/>
    </row>
    <row r="126" spans="2:15" s="192" customFormat="1" ht="15" x14ac:dyDescent="0.2">
      <c r="B126" s="478" t="s">
        <v>38</v>
      </c>
      <c r="C126" s="479" t="s">
        <v>6</v>
      </c>
      <c r="D126" s="480"/>
      <c r="E126" s="1102"/>
      <c r="F126" s="1102"/>
      <c r="G126" s="1102"/>
      <c r="H126" s="1103"/>
      <c r="J126" s="189"/>
      <c r="K126" s="189"/>
      <c r="L126" s="189"/>
      <c r="M126" s="189"/>
      <c r="N126" s="189"/>
      <c r="O126" s="189"/>
    </row>
    <row r="127" spans="2:15" s="192" customFormat="1" ht="15" x14ac:dyDescent="0.2">
      <c r="B127" s="284"/>
      <c r="C127" s="285"/>
      <c r="D127" s="286"/>
      <c r="E127" s="895"/>
      <c r="F127" s="895"/>
      <c r="G127" s="895"/>
      <c r="H127" s="896"/>
    </row>
    <row r="128" spans="2:15" s="192" customFormat="1" ht="15" x14ac:dyDescent="0.2">
      <c r="B128" s="420" t="s">
        <v>7</v>
      </c>
      <c r="C128" s="421" t="s">
        <v>8</v>
      </c>
      <c r="D128" s="422" t="s">
        <v>9</v>
      </c>
      <c r="E128" s="1041" t="s">
        <v>10</v>
      </c>
      <c r="F128" s="1041" t="s">
        <v>11</v>
      </c>
      <c r="G128" s="1041" t="s">
        <v>12</v>
      </c>
      <c r="H128" s="1042"/>
      <c r="J128" s="189"/>
      <c r="K128" s="189"/>
      <c r="L128" s="189"/>
      <c r="M128" s="189"/>
      <c r="N128" s="189"/>
      <c r="O128" s="189"/>
    </row>
    <row r="129" spans="1:15" s="192" customFormat="1" ht="15" x14ac:dyDescent="0.25">
      <c r="B129" s="497" t="s">
        <v>95</v>
      </c>
      <c r="C129" s="498" t="s">
        <v>13</v>
      </c>
      <c r="D129" s="499"/>
      <c r="E129" s="1088"/>
      <c r="F129" s="1088"/>
      <c r="G129" s="1088"/>
      <c r="H129" s="1089"/>
      <c r="J129" s="189"/>
      <c r="K129" s="189"/>
      <c r="L129" s="189"/>
      <c r="M129" s="189"/>
      <c r="N129" s="189"/>
      <c r="O129" s="189"/>
    </row>
    <row r="130" spans="1:15" s="192" customFormat="1" x14ac:dyDescent="0.2">
      <c r="A130" s="192" t="s">
        <v>275</v>
      </c>
      <c r="B130" s="375" t="str">
        <f>IF(C130="","",$B$129&amp;"."&amp;COUNT($F$130:F130))</f>
        <v>4.1.1</v>
      </c>
      <c r="C130" s="379" t="str">
        <f>'2. DADOS DE ENTRADA'!B232</f>
        <v xml:space="preserve">Caminhão para Roll on Roll off </v>
      </c>
      <c r="D130" s="190" t="s">
        <v>4</v>
      </c>
      <c r="E130" s="940">
        <f>SUMIFS('2. DADOS DE ENTRADA'!K:K,'2. DADOS DE ENTRADA'!A:A,'9. TRANS. DEST. FINAL CS'!A130,'2. DADOS DE ENTRADA'!B:B,'9. TRANS. DEST. FINAL CS'!C130)</f>
        <v>0.33</v>
      </c>
      <c r="F130" s="941">
        <f>'3. PREÇOS UNITÁRIOS'!D45</f>
        <v>288976</v>
      </c>
      <c r="G130" s="941">
        <f t="shared" ref="G130:G135" si="5">E130*F130</f>
        <v>95362.08</v>
      </c>
      <c r="H130" s="904"/>
      <c r="J130" s="189"/>
      <c r="K130" s="189"/>
      <c r="L130" s="189"/>
      <c r="M130" s="189"/>
      <c r="N130" s="189"/>
      <c r="O130" s="189"/>
    </row>
    <row r="131" spans="1:15" s="192" customFormat="1" x14ac:dyDescent="0.2">
      <c r="A131" s="192" t="s">
        <v>275</v>
      </c>
      <c r="B131" s="375" t="str">
        <f>IF(C131="","",$B$129&amp;"."&amp;COUNT($F$130:F131))</f>
        <v>4.1.2</v>
      </c>
      <c r="C131" s="379" t="str">
        <f>'2. DADOS DE ENTRADA'!B233</f>
        <v>Caminhão para Roll on Roll off reserva</v>
      </c>
      <c r="D131" s="190" t="s">
        <v>4</v>
      </c>
      <c r="E131" s="940">
        <f>SUMIFS('2. DADOS DE ENTRADA'!K:K,'2. DADOS DE ENTRADA'!A:A,'9. TRANS. DEST. FINAL CS'!A131,'2. DADOS DE ENTRADA'!B:B,'9. TRANS. DEST. FINAL CS'!C131)</f>
        <v>0</v>
      </c>
      <c r="F131" s="941">
        <f>'3. PREÇOS UNITÁRIOS'!D45</f>
        <v>288976</v>
      </c>
      <c r="G131" s="941">
        <f t="shared" si="5"/>
        <v>0</v>
      </c>
      <c r="H131" s="904"/>
      <c r="J131" s="189"/>
      <c r="K131" s="189"/>
      <c r="L131" s="189"/>
      <c r="M131" s="189"/>
      <c r="N131" s="189"/>
      <c r="O131" s="189"/>
    </row>
    <row r="132" spans="1:15" s="192" customFormat="1" ht="28.5" x14ac:dyDescent="0.2">
      <c r="A132" s="192" t="s">
        <v>275</v>
      </c>
      <c r="B132" s="375" t="str">
        <f>IF(C132="","",$B$129&amp;"."&amp;COUNT($F$130:F132))</f>
        <v>4.1.3</v>
      </c>
      <c r="C132" s="379" t="str">
        <f>'2. DADOS DE ENTRADA'!B234</f>
        <v>Equipamento Roll on Roll off operando 1 turno</v>
      </c>
      <c r="D132" s="190" t="s">
        <v>4</v>
      </c>
      <c r="E132" s="940">
        <f>SUMIFS('2. DADOS DE ENTRADA'!K:K,'2. DADOS DE ENTRADA'!A:A,'9. TRANS. DEST. FINAL CS'!A132,'2. DADOS DE ENTRADA'!B:B,'9. TRANS. DEST. FINAL CS'!C132)</f>
        <v>0.33</v>
      </c>
      <c r="F132" s="941">
        <f>'3. PREÇOS UNITÁRIOS'!D46</f>
        <v>39241.384405999997</v>
      </c>
      <c r="G132" s="941">
        <f t="shared" si="5"/>
        <v>12949.656853979999</v>
      </c>
      <c r="H132" s="904"/>
      <c r="J132" s="189"/>
      <c r="K132" s="189"/>
      <c r="L132" s="189"/>
      <c r="M132" s="189"/>
      <c r="N132" s="189"/>
      <c r="O132" s="189"/>
    </row>
    <row r="133" spans="1:15" s="192" customFormat="1" x14ac:dyDescent="0.2">
      <c r="A133" s="192" t="s">
        <v>275</v>
      </c>
      <c r="B133" s="375" t="str">
        <f>IF(C133="","",$B$129&amp;"."&amp;COUNT($F$130:F133))</f>
        <v>4.1.4</v>
      </c>
      <c r="C133" s="379" t="str">
        <f>'2. DADOS DE ENTRADA'!B235</f>
        <v>Equipamento Roll on Roll off reserva</v>
      </c>
      <c r="D133" s="190" t="s">
        <v>4</v>
      </c>
      <c r="E133" s="940">
        <f>SUMIFS('2. DADOS DE ENTRADA'!K:K,'2. DADOS DE ENTRADA'!A:A,'9. TRANS. DEST. FINAL CS'!A133,'2. DADOS DE ENTRADA'!B:B,'9. TRANS. DEST. FINAL CS'!C133)</f>
        <v>0</v>
      </c>
      <c r="F133" s="941">
        <f>'3. PREÇOS UNITÁRIOS'!D46</f>
        <v>39241.384405999997</v>
      </c>
      <c r="G133" s="941">
        <f t="shared" si="5"/>
        <v>0</v>
      </c>
      <c r="H133" s="904"/>
      <c r="J133" s="189"/>
      <c r="K133" s="189"/>
      <c r="L133" s="189"/>
      <c r="M133" s="189"/>
      <c r="N133" s="189"/>
      <c r="O133" s="189"/>
    </row>
    <row r="134" spans="1:15" s="192" customFormat="1" x14ac:dyDescent="0.2">
      <c r="A134" s="192" t="s">
        <v>275</v>
      </c>
      <c r="B134" s="375" t="str">
        <f>IF(C134="","",$B$129&amp;"."&amp;COUNT($F$130:F134))</f>
        <v>4.1.5</v>
      </c>
      <c r="C134" s="379" t="str">
        <f>'2. DADOS DE ENTRADA'!B236</f>
        <v>Conteiner 39 m³ operando 1 turno</v>
      </c>
      <c r="D134" s="190" t="s">
        <v>4</v>
      </c>
      <c r="E134" s="940">
        <f>SUMIFS('2. DADOS DE ENTRADA'!K:K,'2. DADOS DE ENTRADA'!A:A,'9. TRANS. DEST. FINAL CS'!A134,'2. DADOS DE ENTRADA'!B:B,'9. TRANS. DEST. FINAL CS'!C134)</f>
        <v>0.33</v>
      </c>
      <c r="F134" s="941">
        <f>'3. PREÇOS UNITÁRIOS'!D47</f>
        <v>10721.077999999998</v>
      </c>
      <c r="G134" s="941">
        <f>E134*F134</f>
        <v>3537.9557399999994</v>
      </c>
      <c r="H134" s="904"/>
      <c r="J134" s="189"/>
      <c r="K134" s="189"/>
      <c r="L134" s="189"/>
      <c r="M134" s="189"/>
      <c r="N134" s="189"/>
      <c r="O134" s="189"/>
    </row>
    <row r="135" spans="1:15" s="192" customFormat="1" x14ac:dyDescent="0.2">
      <c r="A135" s="192" t="s">
        <v>275</v>
      </c>
      <c r="B135" s="375" t="str">
        <f>IF(C135="","",$B$129&amp;"."&amp;COUNT($F$130:F135))</f>
        <v>4.1.6</v>
      </c>
      <c r="C135" s="573" t="str">
        <f>'2. DADOS DE ENTRADA'!B237</f>
        <v>Conteiner 39 m³ reserva</v>
      </c>
      <c r="D135" s="355" t="s">
        <v>4</v>
      </c>
      <c r="E135" s="1151">
        <f>SUMIFS('2. DADOS DE ENTRADA'!K:K,'2. DADOS DE ENTRADA'!A:A,'9. TRANS. DEST. FINAL CS'!A135,'2. DADOS DE ENTRADA'!B:B,'9. TRANS. DEST. FINAL CS'!C135)</f>
        <v>0</v>
      </c>
      <c r="F135" s="1152">
        <f>'3. PREÇOS UNITÁRIOS'!D47</f>
        <v>10721.077999999998</v>
      </c>
      <c r="G135" s="1152">
        <f t="shared" si="5"/>
        <v>0</v>
      </c>
      <c r="H135" s="1153"/>
      <c r="J135" s="189"/>
      <c r="K135" s="189"/>
      <c r="L135" s="189"/>
      <c r="M135" s="189"/>
      <c r="N135" s="189"/>
      <c r="O135" s="189"/>
    </row>
    <row r="136" spans="1:15" s="192" customFormat="1" ht="15" x14ac:dyDescent="0.25">
      <c r="B136" s="541"/>
      <c r="C136" s="537"/>
      <c r="D136" s="537"/>
      <c r="E136" s="1092"/>
      <c r="F136" s="1074" t="s">
        <v>36</v>
      </c>
      <c r="G136" s="1075">
        <f>SUM(G130:G135)</f>
        <v>111849.69259398</v>
      </c>
      <c r="H136" s="1093"/>
      <c r="J136" s="189"/>
      <c r="K136" s="189"/>
      <c r="L136" s="189"/>
      <c r="M136" s="189"/>
      <c r="N136" s="189"/>
      <c r="O136" s="189"/>
    </row>
    <row r="137" spans="1:15" s="192" customFormat="1" ht="15" x14ac:dyDescent="0.25">
      <c r="B137" s="386"/>
      <c r="C137" s="387"/>
      <c r="D137" s="387"/>
      <c r="E137" s="961"/>
      <c r="F137" s="877"/>
      <c r="G137" s="861"/>
      <c r="H137" s="962"/>
    </row>
    <row r="138" spans="1:15" s="192" customFormat="1" ht="15" x14ac:dyDescent="0.25">
      <c r="B138" s="482" t="s">
        <v>94</v>
      </c>
      <c r="C138" s="483" t="s">
        <v>360</v>
      </c>
      <c r="D138" s="484"/>
      <c r="E138" s="1088"/>
      <c r="F138" s="1097"/>
      <c r="G138" s="1097"/>
      <c r="H138" s="1098"/>
      <c r="J138" s="189"/>
      <c r="K138" s="189"/>
      <c r="L138" s="189"/>
      <c r="M138" s="189"/>
      <c r="N138" s="189"/>
      <c r="O138" s="189"/>
    </row>
    <row r="139" spans="1:15" s="192" customFormat="1" x14ac:dyDescent="0.2">
      <c r="A139" s="192" t="s">
        <v>275</v>
      </c>
      <c r="B139" s="375" t="str">
        <f>IF(C139="","",$B$138&amp;"."&amp;COUNT($F$139:F139))</f>
        <v>4.2.1</v>
      </c>
      <c r="C139" s="189" t="str">
        <f>'2. DADOS DE ENTRADA'!B228</f>
        <v>Veículo de apoio tipo picape.</v>
      </c>
      <c r="D139" s="193" t="s">
        <v>4</v>
      </c>
      <c r="E139" s="940">
        <f>SUMIFS('2. DADOS DE ENTRADA'!K:K,'2. DADOS DE ENTRADA'!A:A,'9. TRANS. DEST. FINAL CS'!A139,'2. DADOS DE ENTRADA'!B:B,'9. TRANS. DEST. FINAL CS'!C139)</f>
        <v>0</v>
      </c>
      <c r="F139" s="927">
        <f>'3. PREÇOS UNITÁRIOS'!D38</f>
        <v>0</v>
      </c>
      <c r="G139" s="927">
        <f>E139*F139</f>
        <v>0</v>
      </c>
      <c r="H139" s="904"/>
      <c r="J139" s="189"/>
      <c r="K139" s="189"/>
      <c r="L139" s="189"/>
      <c r="M139" s="189"/>
      <c r="N139" s="189"/>
      <c r="O139" s="189"/>
    </row>
    <row r="140" spans="1:15" ht="15" x14ac:dyDescent="0.25">
      <c r="B140" s="543"/>
      <c r="C140" s="524"/>
      <c r="D140" s="524"/>
      <c r="E140" s="1149"/>
      <c r="F140" s="1070" t="s">
        <v>36</v>
      </c>
      <c r="G140" s="1071">
        <f>SUM(G139:G139)</f>
        <v>0</v>
      </c>
      <c r="H140" s="1072"/>
    </row>
    <row r="141" spans="1:15" ht="15" x14ac:dyDescent="0.2">
      <c r="B141" s="508"/>
      <c r="C141" s="509"/>
      <c r="D141" s="509" t="s">
        <v>309</v>
      </c>
      <c r="E141" s="1106"/>
      <c r="F141" s="1106"/>
      <c r="G141" s="1107">
        <f>G136+G140</f>
        <v>111849.69259398</v>
      </c>
      <c r="H141" s="1108"/>
      <c r="I141" s="414"/>
    </row>
    <row r="142" spans="1:15" x14ac:dyDescent="0.2">
      <c r="B142" s="335"/>
      <c r="E142" s="881"/>
      <c r="F142" s="881"/>
      <c r="G142" s="881"/>
      <c r="H142" s="871"/>
    </row>
    <row r="143" spans="1:15" ht="15" x14ac:dyDescent="0.2">
      <c r="B143" s="420" t="s">
        <v>48</v>
      </c>
      <c r="C143" s="421" t="s">
        <v>49</v>
      </c>
      <c r="D143" s="422"/>
      <c r="E143" s="1041"/>
      <c r="F143" s="1041"/>
      <c r="G143" s="1041"/>
      <c r="H143" s="1042"/>
      <c r="J143" s="192"/>
      <c r="K143" s="192"/>
      <c r="L143" s="192"/>
      <c r="M143" s="192"/>
    </row>
    <row r="144" spans="1:15" ht="15" x14ac:dyDescent="0.2">
      <c r="B144" s="284"/>
      <c r="C144" s="285"/>
      <c r="D144" s="286"/>
      <c r="E144" s="895"/>
      <c r="F144" s="895"/>
      <c r="G144" s="895"/>
      <c r="H144" s="896"/>
      <c r="J144" s="192"/>
      <c r="K144" s="192"/>
      <c r="L144" s="192"/>
      <c r="M144" s="192"/>
    </row>
    <row r="145" spans="2:13" ht="15" x14ac:dyDescent="0.2">
      <c r="B145" s="420" t="s">
        <v>7</v>
      </c>
      <c r="C145" s="421" t="s">
        <v>8</v>
      </c>
      <c r="D145" s="422" t="s">
        <v>9</v>
      </c>
      <c r="E145" s="1041" t="s">
        <v>10</v>
      </c>
      <c r="F145" s="1041" t="s">
        <v>11</v>
      </c>
      <c r="G145" s="1041" t="s">
        <v>12</v>
      </c>
      <c r="H145" s="1042"/>
      <c r="I145" s="474"/>
      <c r="J145" s="192"/>
      <c r="K145" s="192"/>
      <c r="L145" s="192"/>
      <c r="M145" s="192"/>
    </row>
    <row r="146" spans="2:13" ht="15" x14ac:dyDescent="0.25">
      <c r="B146" s="497" t="s">
        <v>96</v>
      </c>
      <c r="C146" s="498" t="s">
        <v>101</v>
      </c>
      <c r="D146" s="499"/>
      <c r="E146" s="1088"/>
      <c r="F146" s="1088"/>
      <c r="G146" s="1088"/>
      <c r="H146" s="1089"/>
      <c r="J146" s="192"/>
      <c r="K146" s="192"/>
      <c r="L146" s="192"/>
      <c r="M146" s="192"/>
    </row>
    <row r="147" spans="2:13" x14ac:dyDescent="0.2">
      <c r="B147" s="335" t="s">
        <v>99</v>
      </c>
      <c r="C147" s="379" t="str">
        <f>C130</f>
        <v xml:space="preserve">Caminhão para Roll on Roll off </v>
      </c>
      <c r="D147" s="193" t="s">
        <v>1</v>
      </c>
      <c r="E147" s="957">
        <f>'2. DADOS DE ENTRADA'!C226</f>
        <v>0.65180000000000005</v>
      </c>
      <c r="F147" s="1000">
        <f>(F130*E130)-(E130*10*F185)</f>
        <v>87970.08</v>
      </c>
      <c r="G147" s="1110">
        <f>(F147/'2. DADOS DE ENTRADA'!D232)*'9. TRANS. DEST. FINAL CS'!E147</f>
        <v>477.82415120000007</v>
      </c>
      <c r="H147" s="871"/>
      <c r="I147" s="413"/>
      <c r="J147" s="224"/>
    </row>
    <row r="148" spans="2:13" x14ac:dyDescent="0.2">
      <c r="B148" s="335" t="s">
        <v>73</v>
      </c>
      <c r="C148" s="379" t="str">
        <f t="shared" ref="C148:C152" si="6">C131</f>
        <v>Caminhão para Roll on Roll off reserva</v>
      </c>
      <c r="D148" s="193" t="s">
        <v>1</v>
      </c>
      <c r="E148" s="957">
        <f>'2. DADOS DE ENTRADA'!C227</f>
        <v>0.65180000000000005</v>
      </c>
      <c r="F148" s="1000">
        <f>(F131*E131)-(E131*10*F185)</f>
        <v>0</v>
      </c>
      <c r="G148" s="1110">
        <f>(F148/'2. DADOS DE ENTRADA'!D233)*'9. TRANS. DEST. FINAL CS'!E148</f>
        <v>0</v>
      </c>
      <c r="H148" s="871"/>
      <c r="I148" s="413"/>
      <c r="J148" s="224"/>
    </row>
    <row r="149" spans="2:13" ht="28.5" x14ac:dyDescent="0.2">
      <c r="B149" s="335" t="s">
        <v>78</v>
      </c>
      <c r="C149" s="379" t="str">
        <f t="shared" si="6"/>
        <v>Equipamento Roll on Roll off operando 1 turno</v>
      </c>
      <c r="D149" s="193" t="s">
        <v>1</v>
      </c>
      <c r="E149" s="957">
        <f>'2. DADOS DE ENTRADA'!C230</f>
        <v>0.65180000000000005</v>
      </c>
      <c r="F149" s="1000">
        <f>E132*F132</f>
        <v>12949.656853979999</v>
      </c>
      <c r="G149" s="1110">
        <f>(F149/'2. DADOS DE ENTRADA'!D234)*'9. TRANS. DEST. FINAL CS'!E149</f>
        <v>70.338219478534697</v>
      </c>
      <c r="H149" s="871"/>
      <c r="I149" s="413"/>
      <c r="J149" s="224"/>
    </row>
    <row r="150" spans="2:13" x14ac:dyDescent="0.2">
      <c r="B150" s="335" t="s">
        <v>361</v>
      </c>
      <c r="C150" s="379" t="str">
        <f t="shared" si="6"/>
        <v>Equipamento Roll on Roll off reserva</v>
      </c>
      <c r="D150" s="193" t="s">
        <v>1</v>
      </c>
      <c r="E150" s="957">
        <f>'2. DADOS DE ENTRADA'!C231</f>
        <v>0.65180000000000005</v>
      </c>
      <c r="F150" s="1000">
        <f>E133*F133</f>
        <v>0</v>
      </c>
      <c r="G150" s="1110">
        <f>(F150/'2. DADOS DE ENTRADA'!D235)*'9. TRANS. DEST. FINAL CS'!E150</f>
        <v>0</v>
      </c>
      <c r="H150" s="871"/>
      <c r="I150" s="413"/>
      <c r="J150" s="224"/>
    </row>
    <row r="151" spans="2:13" x14ac:dyDescent="0.2">
      <c r="B151" s="335" t="s">
        <v>364</v>
      </c>
      <c r="C151" s="379" t="str">
        <f>C134</f>
        <v>Conteiner 39 m³ operando 1 turno</v>
      </c>
      <c r="D151" s="193" t="s">
        <v>1</v>
      </c>
      <c r="E151" s="957">
        <f>'2. DADOS DE ENTRADA'!C232</f>
        <v>0.65180000000000005</v>
      </c>
      <c r="F151" s="1000">
        <f>E134*F134</f>
        <v>3537.9557399999994</v>
      </c>
      <c r="G151" s="1110">
        <f>(F151/'2. DADOS DE ENTRADA'!D236)*'9. TRANS. DEST. FINAL CS'!E151</f>
        <v>19.216996261099997</v>
      </c>
      <c r="H151" s="871"/>
      <c r="I151" s="413"/>
      <c r="J151" s="224"/>
    </row>
    <row r="152" spans="2:13" x14ac:dyDescent="0.2">
      <c r="B152" s="335" t="s">
        <v>363</v>
      </c>
      <c r="C152" s="379" t="str">
        <f t="shared" si="6"/>
        <v>Conteiner 39 m³ reserva</v>
      </c>
      <c r="D152" s="193" t="s">
        <v>1</v>
      </c>
      <c r="E152" s="957">
        <f>'2. DADOS DE ENTRADA'!C233</f>
        <v>0.65180000000000005</v>
      </c>
      <c r="F152" s="1000">
        <f>E135*F135</f>
        <v>0</v>
      </c>
      <c r="G152" s="1110">
        <f>(F152/'2. DADOS DE ENTRADA'!D237)*'9. TRANS. DEST. FINAL CS'!E152</f>
        <v>0</v>
      </c>
      <c r="H152" s="871"/>
      <c r="I152" s="413"/>
      <c r="J152" s="224"/>
    </row>
    <row r="153" spans="2:13" ht="15" x14ac:dyDescent="0.25">
      <c r="B153" s="540"/>
      <c r="C153" s="529"/>
      <c r="D153" s="529"/>
      <c r="E153" s="1073"/>
      <c r="F153" s="1074" t="s">
        <v>36</v>
      </c>
      <c r="G153" s="1075">
        <f>SUM(G147:G152)</f>
        <v>567.37936693963479</v>
      </c>
      <c r="H153" s="1076"/>
      <c r="I153" s="413"/>
      <c r="J153" s="224"/>
    </row>
    <row r="154" spans="2:13" s="192" customFormat="1" ht="15" x14ac:dyDescent="0.25">
      <c r="B154" s="386"/>
      <c r="C154" s="387"/>
      <c r="D154" s="387"/>
      <c r="E154" s="961"/>
      <c r="F154" s="877"/>
      <c r="G154" s="861"/>
      <c r="H154" s="962"/>
      <c r="I154" s="413"/>
      <c r="J154" s="413"/>
    </row>
    <row r="155" spans="2:13" ht="15" x14ac:dyDescent="0.25">
      <c r="B155" s="497" t="s">
        <v>125</v>
      </c>
      <c r="C155" s="498" t="s">
        <v>51</v>
      </c>
      <c r="D155" s="499"/>
      <c r="E155" s="1088"/>
      <c r="F155" s="1088"/>
      <c r="G155" s="1088"/>
      <c r="H155" s="1089"/>
    </row>
    <row r="156" spans="2:13" s="192" customFormat="1" x14ac:dyDescent="0.2">
      <c r="B156" s="389" t="s">
        <v>368</v>
      </c>
      <c r="C156" s="363" t="s">
        <v>633</v>
      </c>
      <c r="D156" s="364" t="s">
        <v>1</v>
      </c>
      <c r="E156" s="963">
        <f>'2. DADOS DE ENTRADA'!C228</f>
        <v>0.65180000000000005</v>
      </c>
      <c r="F156" s="926">
        <f>(E139*F139)-(E139*4*F196)</f>
        <v>0</v>
      </c>
      <c r="G156" s="926">
        <f>(F156/'2. DADOS DE ENTRADA'!D228)*E156</f>
        <v>0</v>
      </c>
      <c r="H156" s="913"/>
      <c r="I156" s="413"/>
      <c r="J156" s="413"/>
    </row>
    <row r="157" spans="2:13" ht="15" x14ac:dyDescent="0.25">
      <c r="B157" s="540"/>
      <c r="C157" s="529"/>
      <c r="D157" s="529"/>
      <c r="E157" s="1073"/>
      <c r="F157" s="1074" t="s">
        <v>36</v>
      </c>
      <c r="G157" s="1075">
        <f>SUM(G156:G156)</f>
        <v>0</v>
      </c>
      <c r="H157" s="1076"/>
      <c r="I157" s="391"/>
      <c r="J157" s="224"/>
    </row>
    <row r="158" spans="2:13" x14ac:dyDescent="0.2">
      <c r="B158" s="335"/>
      <c r="D158" s="190"/>
      <c r="E158" s="857"/>
      <c r="F158" s="881"/>
      <c r="G158" s="964"/>
      <c r="H158" s="965"/>
      <c r="I158" s="391"/>
    </row>
    <row r="159" spans="2:13" ht="15" x14ac:dyDescent="0.25">
      <c r="B159" s="497" t="s">
        <v>126</v>
      </c>
      <c r="C159" s="546" t="s">
        <v>119</v>
      </c>
      <c r="D159" s="547" t="s">
        <v>1</v>
      </c>
      <c r="E159" s="1111">
        <v>1.06</v>
      </c>
      <c r="F159" s="1112">
        <f>SUM(F147:F152,F156:F156)</f>
        <v>104457.69259398</v>
      </c>
      <c r="G159" s="1113">
        <f>F159*E159/100</f>
        <v>1107.2515414961881</v>
      </c>
      <c r="H159" s="1114"/>
      <c r="I159" s="391"/>
    </row>
    <row r="160" spans="2:13" x14ac:dyDescent="0.2">
      <c r="B160" s="335"/>
      <c r="D160" s="190"/>
      <c r="E160" s="857"/>
      <c r="F160" s="881"/>
      <c r="G160" s="881"/>
      <c r="H160" s="871"/>
    </row>
    <row r="161" spans="2:10" ht="15" x14ac:dyDescent="0.25">
      <c r="B161" s="497" t="s">
        <v>127</v>
      </c>
      <c r="C161" s="498" t="s">
        <v>52</v>
      </c>
      <c r="D161" s="499"/>
      <c r="E161" s="1088"/>
      <c r="F161" s="1088" t="s">
        <v>102</v>
      </c>
      <c r="G161" s="1088" t="s">
        <v>105</v>
      </c>
      <c r="H161" s="1089"/>
    </row>
    <row r="162" spans="2:10" x14ac:dyDescent="0.2">
      <c r="B162" s="335" t="s">
        <v>316</v>
      </c>
      <c r="C162" s="192" t="s">
        <v>602</v>
      </c>
      <c r="D162" s="190" t="s">
        <v>4</v>
      </c>
      <c r="E162" s="924">
        <f>E130+E131</f>
        <v>0.33</v>
      </c>
      <c r="F162" s="927">
        <f>'3. PREÇOS UNITÁRIOS'!D50</f>
        <v>2889.76</v>
      </c>
      <c r="G162" s="927">
        <f t="shared" ref="G162:G165" si="7">E162*F162</f>
        <v>953.62080000000014</v>
      </c>
      <c r="H162" s="871"/>
    </row>
    <row r="163" spans="2:10" x14ac:dyDescent="0.2">
      <c r="B163" s="335" t="s">
        <v>317</v>
      </c>
      <c r="C163" s="192" t="s">
        <v>85</v>
      </c>
      <c r="D163" s="190" t="s">
        <v>4</v>
      </c>
      <c r="E163" s="924">
        <f>E139</f>
        <v>0</v>
      </c>
      <c r="F163" s="927">
        <f>'3. PREÇOS UNITÁRIOS'!D51</f>
        <v>0</v>
      </c>
      <c r="G163" s="927">
        <f t="shared" si="7"/>
        <v>0</v>
      </c>
      <c r="H163" s="871"/>
    </row>
    <row r="164" spans="2:10" x14ac:dyDescent="0.2">
      <c r="B164" s="335" t="s">
        <v>318</v>
      </c>
      <c r="C164" s="192" t="s">
        <v>601</v>
      </c>
      <c r="D164" s="190"/>
      <c r="E164" s="924">
        <f>E162</f>
        <v>0.33</v>
      </c>
      <c r="F164" s="927">
        <f>'3. PREÇOS UNITÁRIOS'!D52</f>
        <v>150</v>
      </c>
      <c r="G164" s="927">
        <f t="shared" si="7"/>
        <v>49.5</v>
      </c>
      <c r="H164" s="871"/>
    </row>
    <row r="165" spans="2:10" x14ac:dyDescent="0.2">
      <c r="B165" s="335" t="s">
        <v>319</v>
      </c>
      <c r="C165" s="192" t="s">
        <v>569</v>
      </c>
      <c r="D165" s="190" t="s">
        <v>4</v>
      </c>
      <c r="E165" s="924">
        <f>E163</f>
        <v>0</v>
      </c>
      <c r="F165" s="927">
        <f>'3. PREÇOS UNITÁRIOS'!D53</f>
        <v>142.69</v>
      </c>
      <c r="G165" s="927">
        <f t="shared" si="7"/>
        <v>0</v>
      </c>
      <c r="H165" s="871"/>
    </row>
    <row r="166" spans="2:10" ht="15" x14ac:dyDescent="0.25">
      <c r="B166" s="551"/>
      <c r="C166" s="552"/>
      <c r="D166" s="552"/>
      <c r="E166" s="1115"/>
      <c r="F166" s="1070" t="s">
        <v>36</v>
      </c>
      <c r="G166" s="1071">
        <f>SUM(G162:G165)</f>
        <v>1003.1208000000001</v>
      </c>
      <c r="H166" s="1116"/>
      <c r="I166" s="476"/>
    </row>
    <row r="167" spans="2:10" ht="15" x14ac:dyDescent="0.25">
      <c r="B167" s="541"/>
      <c r="C167" s="537"/>
      <c r="D167" s="537"/>
      <c r="E167" s="1092"/>
      <c r="F167" s="1074" t="s">
        <v>370</v>
      </c>
      <c r="G167" s="1075">
        <f>G166/12</f>
        <v>83.593400000000017</v>
      </c>
      <c r="H167" s="1093"/>
      <c r="I167" s="476"/>
    </row>
    <row r="168" spans="2:10" x14ac:dyDescent="0.2">
      <c r="B168" s="353"/>
      <c r="C168" s="354"/>
      <c r="D168" s="355"/>
      <c r="E168" s="978"/>
      <c r="F168" s="978"/>
      <c r="G168" s="979"/>
      <c r="H168" s="980"/>
      <c r="I168" s="476"/>
    </row>
    <row r="169" spans="2:10" ht="15" x14ac:dyDescent="0.25">
      <c r="B169" s="497" t="s">
        <v>128</v>
      </c>
      <c r="C169" s="498" t="s">
        <v>53</v>
      </c>
      <c r="D169" s="499"/>
      <c r="E169" s="1088"/>
      <c r="F169" s="1088"/>
      <c r="G169" s="1088"/>
      <c r="H169" s="1089"/>
    </row>
    <row r="170" spans="2:10" x14ac:dyDescent="0.2">
      <c r="B170" s="335" t="s">
        <v>312</v>
      </c>
      <c r="C170" s="192" t="s">
        <v>871</v>
      </c>
      <c r="D170" s="190" t="s">
        <v>311</v>
      </c>
      <c r="E170" s="983">
        <f>'2. DADOS DE ENTRADA'!I269/'2. DADOS DE ENTRADA'!D258</f>
        <v>266.66666666666669</v>
      </c>
      <c r="F170" s="927">
        <f>'3. PREÇOS UNITÁRIOS'!D31</f>
        <v>6.29</v>
      </c>
      <c r="G170" s="927">
        <f t="shared" ref="G170:G171" si="8">E170*F170</f>
        <v>1677.3333333333335</v>
      </c>
      <c r="H170" s="965"/>
      <c r="I170" s="391"/>
      <c r="J170" s="554"/>
    </row>
    <row r="171" spans="2:10" x14ac:dyDescent="0.2">
      <c r="B171" s="335" t="s">
        <v>313</v>
      </c>
      <c r="C171" s="192" t="s">
        <v>57</v>
      </c>
      <c r="D171" s="190" t="s">
        <v>311</v>
      </c>
      <c r="E171" s="983">
        <f>'2. DADOS DE ENTRADA'!I266/'2. DADOS DE ENTRADA'!D255</f>
        <v>0</v>
      </c>
      <c r="F171" s="927">
        <f>'3. PREÇOS UNITÁRIOS'!D32</f>
        <v>0</v>
      </c>
      <c r="G171" s="927">
        <f t="shared" si="8"/>
        <v>0</v>
      </c>
      <c r="H171" s="871"/>
    </row>
    <row r="172" spans="2:10" ht="15" x14ac:dyDescent="0.25">
      <c r="B172" s="541"/>
      <c r="C172" s="537"/>
      <c r="D172" s="537"/>
      <c r="E172" s="1092"/>
      <c r="F172" s="1074" t="s">
        <v>36</v>
      </c>
      <c r="G172" s="1075">
        <f>SUM(G170:G171)</f>
        <v>1677.3333333333335</v>
      </c>
      <c r="H172" s="1093"/>
      <c r="I172" s="391"/>
    </row>
    <row r="173" spans="2:10" s="192" customFormat="1" ht="15" x14ac:dyDescent="0.25">
      <c r="B173" s="401"/>
      <c r="C173" s="201"/>
      <c r="D173" s="201"/>
      <c r="E173" s="984"/>
      <c r="F173" s="861"/>
      <c r="G173" s="861"/>
      <c r="H173" s="985"/>
      <c r="I173" s="391"/>
    </row>
    <row r="174" spans="2:10" ht="15" x14ac:dyDescent="0.25">
      <c r="B174" s="497" t="s">
        <v>129</v>
      </c>
      <c r="C174" s="498" t="s">
        <v>655</v>
      </c>
      <c r="D174" s="499"/>
      <c r="E174" s="1088"/>
      <c r="F174" s="1088"/>
      <c r="G174" s="1088"/>
      <c r="H174" s="1089"/>
    </row>
    <row r="175" spans="2:10" x14ac:dyDescent="0.2">
      <c r="B175" s="335" t="s">
        <v>321</v>
      </c>
      <c r="C175" s="192" t="s">
        <v>58</v>
      </c>
      <c r="D175" s="190" t="s">
        <v>1</v>
      </c>
      <c r="E175" s="857">
        <v>1.2</v>
      </c>
      <c r="F175" s="964">
        <f>SUM(F147:F152)</f>
        <v>104457.69259398</v>
      </c>
      <c r="G175" s="901">
        <f>(E175/100)*F175</f>
        <v>1253.4923111277601</v>
      </c>
      <c r="H175" s="871"/>
    </row>
    <row r="176" spans="2:10" x14ac:dyDescent="0.2">
      <c r="B176" s="335" t="s">
        <v>322</v>
      </c>
      <c r="C176" s="192" t="s">
        <v>14</v>
      </c>
      <c r="D176" s="190" t="s">
        <v>1</v>
      </c>
      <c r="E176" s="857">
        <v>1.2</v>
      </c>
      <c r="F176" s="964">
        <f>SUM(F156:F156)</f>
        <v>0</v>
      </c>
      <c r="G176" s="901">
        <f>(E176/100)*F176</f>
        <v>0</v>
      </c>
      <c r="H176" s="965"/>
      <c r="I176" s="391"/>
    </row>
    <row r="177" spans="2:9" x14ac:dyDescent="0.2">
      <c r="B177" s="335" t="s">
        <v>666</v>
      </c>
      <c r="C177" s="192" t="s">
        <v>660</v>
      </c>
      <c r="D177" s="190" t="s">
        <v>4</v>
      </c>
      <c r="E177" s="995">
        <f>'2. DADOS DE ENTRADA'!K242+'2. DADOS DE ENTRADA'!K243</f>
        <v>1.98</v>
      </c>
      <c r="F177" s="964">
        <f>'3. PREÇOS UNITÁRIOS'!D64</f>
        <v>330</v>
      </c>
      <c r="G177" s="901">
        <f>F177*E177</f>
        <v>653.4</v>
      </c>
      <c r="H177" s="965"/>
      <c r="I177" s="391"/>
    </row>
    <row r="178" spans="2:9" x14ac:dyDescent="0.2">
      <c r="B178" s="335" t="s">
        <v>667</v>
      </c>
      <c r="C178" s="192" t="s">
        <v>664</v>
      </c>
      <c r="D178" s="190" t="s">
        <v>4</v>
      </c>
      <c r="E178" s="995">
        <f>'2. DADOS DE ENTRADA'!K244</f>
        <v>0</v>
      </c>
      <c r="F178" s="964">
        <f>'3. PREÇOS UNITÁRIOS'!D66</f>
        <v>70</v>
      </c>
      <c r="G178" s="901">
        <f>F178*E178</f>
        <v>0</v>
      </c>
      <c r="H178" s="965"/>
      <c r="I178" s="391"/>
    </row>
    <row r="179" spans="2:9" ht="15" x14ac:dyDescent="0.25">
      <c r="B179" s="541"/>
      <c r="C179" s="537"/>
      <c r="D179" s="537"/>
      <c r="E179" s="1092"/>
      <c r="F179" s="1074" t="s">
        <v>36</v>
      </c>
      <c r="G179" s="1075">
        <f>SUM(G175:G178)</f>
        <v>1906.89231112776</v>
      </c>
      <c r="H179" s="1093"/>
      <c r="I179" s="391"/>
    </row>
    <row r="180" spans="2:9" x14ac:dyDescent="0.2">
      <c r="B180" s="335"/>
      <c r="D180" s="190"/>
      <c r="E180" s="857"/>
      <c r="F180" s="964"/>
      <c r="G180" s="901"/>
      <c r="H180" s="871"/>
    </row>
    <row r="181" spans="2:9" ht="15" x14ac:dyDescent="0.25">
      <c r="B181" s="497" t="s">
        <v>130</v>
      </c>
      <c r="C181" s="498" t="s">
        <v>59</v>
      </c>
      <c r="D181" s="499"/>
      <c r="E181" s="1088"/>
      <c r="F181" s="1088"/>
      <c r="G181" s="1088"/>
      <c r="H181" s="1089"/>
    </row>
    <row r="182" spans="2:9" ht="15" x14ac:dyDescent="0.25">
      <c r="B182" s="497" t="s">
        <v>339</v>
      </c>
      <c r="C182" s="498" t="s">
        <v>870</v>
      </c>
      <c r="D182" s="499"/>
      <c r="E182" s="1088"/>
      <c r="F182" s="1088"/>
      <c r="G182" s="1088"/>
      <c r="H182" s="1089"/>
    </row>
    <row r="183" spans="2:9" x14ac:dyDescent="0.2">
      <c r="B183" s="335" t="s">
        <v>342</v>
      </c>
      <c r="C183" s="393" t="s">
        <v>60</v>
      </c>
      <c r="D183" s="394" t="s">
        <v>3</v>
      </c>
      <c r="E183" s="970">
        <f>'2. DADOS DE ENTRADA'!E253</f>
        <v>60000</v>
      </c>
      <c r="F183" s="992"/>
      <c r="G183" s="992"/>
      <c r="H183" s="971"/>
    </row>
    <row r="184" spans="2:9" x14ac:dyDescent="0.2">
      <c r="B184" s="335" t="s">
        <v>343</v>
      </c>
      <c r="C184" s="189" t="s">
        <v>61</v>
      </c>
      <c r="D184" s="193" t="str">
        <f>D183</f>
        <v>Km</v>
      </c>
      <c r="E184" s="972">
        <f>'2. DADOS DE ENTRADA'!I269</f>
        <v>800</v>
      </c>
      <c r="F184" s="993"/>
      <c r="G184" s="993"/>
      <c r="H184" s="884"/>
    </row>
    <row r="185" spans="2:9" x14ac:dyDescent="0.2">
      <c r="B185" s="335" t="s">
        <v>344</v>
      </c>
      <c r="C185" s="192" t="s">
        <v>86</v>
      </c>
      <c r="D185" s="190" t="s">
        <v>4</v>
      </c>
      <c r="E185" s="924">
        <f>'2. DADOS DE ENTRADA'!F258</f>
        <v>0.08</v>
      </c>
      <c r="F185" s="901">
        <f>'3. PREÇOS UNITÁRIOS'!D56</f>
        <v>2240</v>
      </c>
      <c r="G185" s="901">
        <f>E185*F185</f>
        <v>179.20000000000002</v>
      </c>
      <c r="H185" s="884"/>
    </row>
    <row r="186" spans="2:9" x14ac:dyDescent="0.2">
      <c r="B186" s="335" t="s">
        <v>345</v>
      </c>
      <c r="C186" s="192" t="s">
        <v>62</v>
      </c>
      <c r="D186" s="190" t="s">
        <v>4</v>
      </c>
      <c r="E186" s="924">
        <f>'2. DADOS DE ENTRADA'!G258</f>
        <v>0.08</v>
      </c>
      <c r="F186" s="901">
        <f>'3. PREÇOS UNITÁRIOS'!D57</f>
        <v>240</v>
      </c>
      <c r="G186" s="901">
        <f>E186*F186</f>
        <v>19.2</v>
      </c>
      <c r="H186" s="884"/>
    </row>
    <row r="187" spans="2:9" x14ac:dyDescent="0.2">
      <c r="B187" s="335" t="s">
        <v>346</v>
      </c>
      <c r="C187" s="192" t="s">
        <v>63</v>
      </c>
      <c r="D187" s="190" t="s">
        <v>4</v>
      </c>
      <c r="E187" s="924">
        <f>'2. DADOS DE ENTRADA'!H258</f>
        <v>0.08</v>
      </c>
      <c r="F187" s="901">
        <f>'3. PREÇOS UNITÁRIOS'!D58</f>
        <v>120</v>
      </c>
      <c r="G187" s="901">
        <f>E187*F187</f>
        <v>9.6</v>
      </c>
      <c r="H187" s="884"/>
    </row>
    <row r="188" spans="2:9" x14ac:dyDescent="0.2">
      <c r="B188" s="335" t="s">
        <v>347</v>
      </c>
      <c r="C188" s="192" t="s">
        <v>64</v>
      </c>
      <c r="D188" s="190" t="s">
        <v>4</v>
      </c>
      <c r="E188" s="924">
        <f>'2. DADOS DE ENTRADA'!I258</f>
        <v>0.16</v>
      </c>
      <c r="F188" s="901">
        <f>'3. PREÇOS UNITÁRIOS'!D59</f>
        <v>625</v>
      </c>
      <c r="G188" s="901">
        <f>E188*F188</f>
        <v>100</v>
      </c>
      <c r="H188" s="884"/>
    </row>
    <row r="189" spans="2:9" x14ac:dyDescent="0.2">
      <c r="B189" s="335" t="s">
        <v>348</v>
      </c>
      <c r="C189" s="189" t="s">
        <v>65</v>
      </c>
      <c r="D189" s="193" t="s">
        <v>4</v>
      </c>
      <c r="E189" s="972">
        <f>'2. DADOS DE ENTRADA'!J258</f>
        <v>1</v>
      </c>
      <c r="F189" s="994">
        <f>'3. PREÇOS UNITÁRIOS'!D60</f>
        <v>250</v>
      </c>
      <c r="G189" s="994">
        <f>E189*F189</f>
        <v>250</v>
      </c>
      <c r="H189" s="884"/>
    </row>
    <row r="190" spans="2:9" ht="15" x14ac:dyDescent="0.25">
      <c r="B190" s="551"/>
      <c r="C190" s="552"/>
      <c r="D190" s="552"/>
      <c r="E190" s="1115"/>
      <c r="F190" s="1070" t="s">
        <v>36</v>
      </c>
      <c r="G190" s="1071">
        <f>SUM(G185:G189)</f>
        <v>558</v>
      </c>
      <c r="H190" s="1116"/>
      <c r="I190" s="357"/>
    </row>
    <row r="191" spans="2:9" ht="15" x14ac:dyDescent="0.25">
      <c r="B191" s="541"/>
      <c r="C191" s="537"/>
      <c r="D191" s="537"/>
      <c r="E191" s="1092"/>
      <c r="F191" s="1074" t="s">
        <v>370</v>
      </c>
      <c r="G191" s="1075">
        <f>(G190/E183)*E184</f>
        <v>7.4399999999999995</v>
      </c>
      <c r="H191" s="1093"/>
      <c r="I191" s="357"/>
    </row>
    <row r="192" spans="2:9" x14ac:dyDescent="0.2">
      <c r="B192" s="335"/>
      <c r="C192" s="189"/>
      <c r="D192" s="190"/>
      <c r="E192" s="924"/>
      <c r="F192" s="881"/>
      <c r="G192" s="881"/>
      <c r="H192" s="871"/>
    </row>
    <row r="193" spans="1:15" ht="15" x14ac:dyDescent="0.25">
      <c r="B193" s="497" t="s">
        <v>340</v>
      </c>
      <c r="C193" s="498" t="s">
        <v>67</v>
      </c>
      <c r="D193" s="499"/>
      <c r="E193" s="1088"/>
      <c r="F193" s="1088"/>
      <c r="G193" s="1088"/>
      <c r="H193" s="1089"/>
      <c r="I193" s="357"/>
    </row>
    <row r="194" spans="1:15" x14ac:dyDescent="0.2">
      <c r="B194" s="345" t="s">
        <v>349</v>
      </c>
      <c r="C194" s="192" t="s">
        <v>60</v>
      </c>
      <c r="D194" s="190" t="s">
        <v>3</v>
      </c>
      <c r="E194" s="924">
        <f>'2. DADOS DE ENTRADA'!E255</f>
        <v>60000</v>
      </c>
      <c r="F194" s="881"/>
      <c r="G194" s="881"/>
      <c r="H194" s="871"/>
    </row>
    <row r="195" spans="1:15" x14ac:dyDescent="0.2">
      <c r="B195" s="345" t="s">
        <v>350</v>
      </c>
      <c r="C195" s="192" t="s">
        <v>68</v>
      </c>
      <c r="D195" s="190" t="str">
        <f>D194</f>
        <v>Km</v>
      </c>
      <c r="E195" s="924">
        <f>'2. DADOS DE ENTRADA'!G266</f>
        <v>0</v>
      </c>
      <c r="F195" s="881"/>
      <c r="G195" s="881"/>
      <c r="H195" s="871"/>
    </row>
    <row r="196" spans="1:15" x14ac:dyDescent="0.2">
      <c r="B196" s="345" t="s">
        <v>351</v>
      </c>
      <c r="C196" s="192" t="s">
        <v>120</v>
      </c>
      <c r="D196" s="190" t="s">
        <v>4</v>
      </c>
      <c r="E196" s="924">
        <f>'2. DADOS DE ENTRADA'!F255</f>
        <v>0</v>
      </c>
      <c r="F196" s="964">
        <f>'3. PREÇOS UNITÁRIOS'!D62</f>
        <v>0</v>
      </c>
      <c r="G196" s="964">
        <f>E196*F196</f>
        <v>0</v>
      </c>
      <c r="H196" s="871"/>
    </row>
    <row r="197" spans="1:15" ht="15" x14ac:dyDescent="0.25">
      <c r="B197" s="551"/>
      <c r="C197" s="552"/>
      <c r="D197" s="552"/>
      <c r="E197" s="1115"/>
      <c r="F197" s="1070" t="s">
        <v>36</v>
      </c>
      <c r="G197" s="1071">
        <f>SUM(G196)</f>
        <v>0</v>
      </c>
      <c r="H197" s="1120"/>
      <c r="I197" s="357"/>
    </row>
    <row r="198" spans="1:15" ht="15" x14ac:dyDescent="0.25">
      <c r="B198" s="541"/>
      <c r="C198" s="537"/>
      <c r="D198" s="537"/>
      <c r="E198" s="1092"/>
      <c r="F198" s="1074" t="s">
        <v>370</v>
      </c>
      <c r="G198" s="1075">
        <f>(G197/E194)*E195</f>
        <v>0</v>
      </c>
      <c r="H198" s="1093"/>
      <c r="I198" s="357"/>
    </row>
    <row r="199" spans="1:15" x14ac:dyDescent="0.2">
      <c r="B199" s="335"/>
      <c r="C199" s="189"/>
      <c r="D199" s="189"/>
      <c r="E199" s="993"/>
      <c r="F199" s="993"/>
      <c r="G199" s="993"/>
      <c r="H199" s="884"/>
      <c r="I199" s="357"/>
    </row>
    <row r="200" spans="1:15" ht="15" x14ac:dyDescent="0.25">
      <c r="B200" s="512" t="s">
        <v>341</v>
      </c>
      <c r="C200" s="139" t="s">
        <v>621</v>
      </c>
      <c r="D200" s="513"/>
      <c r="E200" s="1121"/>
      <c r="F200" s="1121"/>
      <c r="G200" s="1121"/>
      <c r="H200" s="1122"/>
      <c r="I200" s="357"/>
    </row>
    <row r="201" spans="1:15" x14ac:dyDescent="0.2">
      <c r="B201" s="362" t="s">
        <v>392</v>
      </c>
      <c r="C201" s="363" t="s">
        <v>621</v>
      </c>
      <c r="D201" s="364" t="s">
        <v>1</v>
      </c>
      <c r="E201" s="997">
        <v>0.1</v>
      </c>
      <c r="F201" s="926">
        <f>G172</f>
        <v>1677.3333333333335</v>
      </c>
      <c r="G201" s="926">
        <f>E201*F201</f>
        <v>167.73333333333335</v>
      </c>
      <c r="H201" s="998"/>
      <c r="I201" s="357"/>
    </row>
    <row r="202" spans="1:15" ht="15" x14ac:dyDescent="0.25">
      <c r="B202" s="551"/>
      <c r="C202" s="552"/>
      <c r="D202" s="552"/>
      <c r="E202" s="1115"/>
      <c r="F202" s="1070" t="s">
        <v>36</v>
      </c>
      <c r="G202" s="1071">
        <f>SUM(G201)</f>
        <v>167.73333333333335</v>
      </c>
      <c r="H202" s="1120"/>
    </row>
    <row r="203" spans="1:15" s="192" customFormat="1" ht="15" x14ac:dyDescent="0.25">
      <c r="B203" s="551"/>
      <c r="C203" s="552"/>
      <c r="D203" s="552"/>
      <c r="E203" s="1115"/>
      <c r="F203" s="1070" t="s">
        <v>370</v>
      </c>
      <c r="G203" s="1071">
        <f>G202</f>
        <v>167.73333333333335</v>
      </c>
      <c r="H203" s="1120"/>
      <c r="J203" s="189"/>
      <c r="K203" s="189"/>
      <c r="L203" s="189"/>
      <c r="M203" s="189"/>
      <c r="N203" s="189"/>
      <c r="O203" s="189"/>
    </row>
    <row r="204" spans="1:15" s="192" customFormat="1" ht="15" x14ac:dyDescent="0.25">
      <c r="B204" s="555"/>
      <c r="C204" s="382"/>
      <c r="D204" s="382"/>
      <c r="E204" s="1117"/>
      <c r="F204" s="882"/>
      <c r="G204" s="1118"/>
      <c r="H204" s="1141"/>
      <c r="J204" s="189"/>
      <c r="K204" s="189"/>
      <c r="L204" s="189"/>
      <c r="M204" s="189"/>
      <c r="N204" s="189"/>
      <c r="O204" s="189"/>
    </row>
    <row r="205" spans="1:15" s="192" customFormat="1" ht="15" x14ac:dyDescent="0.2">
      <c r="B205" s="505"/>
      <c r="C205" s="506"/>
      <c r="D205" s="506"/>
      <c r="E205" s="1100" t="s">
        <v>570</v>
      </c>
      <c r="F205" s="1100"/>
      <c r="G205" s="1100">
        <f>G203+G198+G191+G179+G172+G167+G159+G157+G153</f>
        <v>5517.6232862302495</v>
      </c>
      <c r="H205" s="1101"/>
      <c r="J205" s="189"/>
      <c r="K205" s="189"/>
      <c r="L205" s="189"/>
      <c r="M205" s="189"/>
      <c r="N205" s="189"/>
      <c r="O205" s="189"/>
    </row>
    <row r="206" spans="1:15" ht="15" x14ac:dyDescent="0.2">
      <c r="A206" s="189"/>
      <c r="B206" s="562"/>
      <c r="C206" s="563"/>
      <c r="D206" s="563"/>
      <c r="E206" s="1142"/>
      <c r="F206" s="1142"/>
      <c r="G206" s="1142"/>
      <c r="H206" s="1143"/>
      <c r="I206" s="189"/>
    </row>
    <row r="207" spans="1:15" s="192" customFormat="1" ht="15" x14ac:dyDescent="0.2">
      <c r="B207" s="418" t="s">
        <v>677</v>
      </c>
      <c r="C207" s="161" t="s">
        <v>678</v>
      </c>
      <c r="D207" s="160"/>
      <c r="E207" s="1039"/>
      <c r="F207" s="1039"/>
      <c r="G207" s="1039"/>
      <c r="H207" s="1040"/>
      <c r="J207" s="189"/>
      <c r="K207" s="189"/>
      <c r="L207" s="189"/>
      <c r="M207" s="189"/>
      <c r="N207" s="189"/>
      <c r="O207" s="189"/>
    </row>
    <row r="208" spans="1:15" s="192" customFormat="1" ht="15" x14ac:dyDescent="0.2">
      <c r="B208" s="284"/>
      <c r="C208" s="285"/>
      <c r="D208" s="286"/>
      <c r="E208" s="895"/>
      <c r="F208" s="895"/>
      <c r="G208" s="895"/>
      <c r="H208" s="896"/>
      <c r="J208" s="189"/>
      <c r="K208" s="189"/>
      <c r="L208" s="189"/>
      <c r="M208" s="189"/>
      <c r="N208" s="189"/>
      <c r="O208" s="189"/>
    </row>
    <row r="209" spans="2:15" s="192" customFormat="1" ht="15" x14ac:dyDescent="0.2">
      <c r="B209" s="420" t="s">
        <v>7</v>
      </c>
      <c r="C209" s="421" t="s">
        <v>8</v>
      </c>
      <c r="D209" s="422" t="s">
        <v>9</v>
      </c>
      <c r="E209" s="1041" t="s">
        <v>10</v>
      </c>
      <c r="F209" s="1041" t="s">
        <v>11</v>
      </c>
      <c r="G209" s="1041" t="s">
        <v>12</v>
      </c>
      <c r="H209" s="1042"/>
      <c r="J209" s="189"/>
      <c r="K209" s="189"/>
      <c r="L209" s="189"/>
      <c r="M209" s="189"/>
      <c r="N209" s="189"/>
      <c r="O209" s="189"/>
    </row>
    <row r="210" spans="2:15" s="192" customFormat="1" ht="15" x14ac:dyDescent="0.25">
      <c r="B210" s="497" t="s">
        <v>100</v>
      </c>
      <c r="C210" s="498" t="s">
        <v>610</v>
      </c>
      <c r="D210" s="499"/>
      <c r="E210" s="1088"/>
      <c r="F210" s="1088"/>
      <c r="G210" s="1088"/>
      <c r="H210" s="1089"/>
      <c r="J210" s="189"/>
      <c r="K210" s="189"/>
      <c r="L210" s="189"/>
      <c r="M210" s="189"/>
      <c r="N210" s="189"/>
      <c r="O210" s="189"/>
    </row>
    <row r="211" spans="2:15" s="192" customFormat="1" x14ac:dyDescent="0.2">
      <c r="B211" s="406" t="s">
        <v>703</v>
      </c>
      <c r="C211" s="192" t="s">
        <v>680</v>
      </c>
      <c r="D211" s="193" t="s">
        <v>4</v>
      </c>
      <c r="E211" s="1154">
        <f>'2. DADOS DE ENTRADA'!K232+'2. DADOS DE ENTRADA'!K233</f>
        <v>0.33</v>
      </c>
      <c r="F211" s="955">
        <f>'3. PREÇOS UNITÁRIOS'!D70</f>
        <v>8.3333333333333339</v>
      </c>
      <c r="G211" s="955">
        <f t="shared" ref="G211:G212" si="9">E211*F211</f>
        <v>2.7500000000000004</v>
      </c>
      <c r="H211" s="884"/>
      <c r="J211" s="189"/>
      <c r="K211" s="189"/>
      <c r="L211" s="189"/>
      <c r="M211" s="189"/>
      <c r="N211" s="189"/>
      <c r="O211" s="189"/>
    </row>
    <row r="212" spans="2:15" s="192" customFormat="1" ht="42.75" x14ac:dyDescent="0.2">
      <c r="B212" s="406" t="s">
        <v>704</v>
      </c>
      <c r="C212" s="214" t="s">
        <v>735</v>
      </c>
      <c r="D212" s="203" t="s">
        <v>681</v>
      </c>
      <c r="E212" s="999">
        <f>E211</f>
        <v>0.33</v>
      </c>
      <c r="F212" s="958">
        <f>'3. PREÇOS UNITÁRIOS'!D71</f>
        <v>69.900000000000006</v>
      </c>
      <c r="G212" s="958">
        <f t="shared" si="9"/>
        <v>23.067000000000004</v>
      </c>
      <c r="H212" s="884"/>
      <c r="J212" s="189"/>
      <c r="K212" s="189"/>
      <c r="L212" s="189"/>
      <c r="M212" s="189"/>
      <c r="N212" s="189"/>
      <c r="O212" s="189"/>
    </row>
    <row r="213" spans="2:15" s="192" customFormat="1" ht="15" x14ac:dyDescent="0.25">
      <c r="B213" s="541"/>
      <c r="C213" s="537"/>
      <c r="D213" s="537"/>
      <c r="E213" s="1092"/>
      <c r="F213" s="1074" t="s">
        <v>36</v>
      </c>
      <c r="G213" s="1071">
        <f>SUM(G211:G212)</f>
        <v>25.817000000000004</v>
      </c>
      <c r="H213" s="1093"/>
      <c r="J213" s="189"/>
      <c r="K213" s="189"/>
      <c r="L213" s="189"/>
      <c r="M213" s="189"/>
      <c r="N213" s="189"/>
      <c r="O213" s="189"/>
    </row>
    <row r="214" spans="2:15" s="192" customFormat="1" ht="15" x14ac:dyDescent="0.2">
      <c r="B214" s="448"/>
      <c r="C214" s="441"/>
      <c r="D214" s="441"/>
      <c r="E214" s="1048" t="s">
        <v>726</v>
      </c>
      <c r="F214" s="1048"/>
      <c r="G214" s="1048">
        <f>G213</f>
        <v>25.817000000000004</v>
      </c>
      <c r="H214" s="1099"/>
      <c r="J214" s="189"/>
      <c r="K214" s="189"/>
      <c r="L214" s="189"/>
      <c r="M214" s="189"/>
      <c r="N214" s="189"/>
      <c r="O214" s="189"/>
    </row>
    <row r="215" spans="2:15" s="192" customFormat="1" ht="15" x14ac:dyDescent="0.25">
      <c r="B215" s="555"/>
      <c r="C215" s="382"/>
      <c r="D215" s="382"/>
      <c r="E215" s="1117"/>
      <c r="F215" s="882"/>
      <c r="G215" s="1118"/>
      <c r="H215" s="1141"/>
      <c r="J215" s="189"/>
      <c r="K215" s="189"/>
      <c r="L215" s="189"/>
      <c r="M215" s="189"/>
      <c r="N215" s="189"/>
      <c r="O215" s="189"/>
    </row>
    <row r="216" spans="2:15" s="192" customFormat="1" ht="15" x14ac:dyDescent="0.2">
      <c r="B216" s="478" t="s">
        <v>537</v>
      </c>
      <c r="C216" s="479" t="s">
        <v>534</v>
      </c>
      <c r="D216" s="480"/>
      <c r="E216" s="1102"/>
      <c r="F216" s="1102"/>
      <c r="G216" s="1102"/>
      <c r="H216" s="1103"/>
      <c r="J216" s="189"/>
      <c r="K216" s="189"/>
      <c r="L216" s="189"/>
      <c r="M216" s="189"/>
      <c r="N216" s="189"/>
      <c r="O216" s="189"/>
    </row>
    <row r="217" spans="2:15" s="192" customFormat="1" x14ac:dyDescent="0.2">
      <c r="B217" s="758" t="s">
        <v>103</v>
      </c>
      <c r="C217" s="759" t="s">
        <v>34</v>
      </c>
      <c r="D217" s="760"/>
      <c r="E217" s="1043"/>
      <c r="F217" s="1043"/>
      <c r="G217" s="1043"/>
      <c r="H217" s="1060">
        <f>G43</f>
        <v>1148.0596215046633</v>
      </c>
      <c r="J217" s="189"/>
      <c r="K217" s="189"/>
      <c r="L217" s="189"/>
      <c r="M217" s="189"/>
      <c r="N217" s="189"/>
      <c r="O217" s="189"/>
    </row>
    <row r="218" spans="2:15" s="192" customFormat="1" x14ac:dyDescent="0.2">
      <c r="B218" s="758" t="s">
        <v>708</v>
      </c>
      <c r="C218" s="759" t="s">
        <v>37</v>
      </c>
      <c r="D218" s="760"/>
      <c r="E218" s="1043"/>
      <c r="F218" s="1043"/>
      <c r="G218" s="1043"/>
      <c r="H218" s="1060">
        <f>G82</f>
        <v>411.76660355624801</v>
      </c>
      <c r="J218" s="189"/>
      <c r="K218" s="189"/>
      <c r="L218" s="189"/>
      <c r="M218" s="189"/>
      <c r="N218" s="189"/>
      <c r="O218" s="189"/>
    </row>
    <row r="219" spans="2:15" s="192" customFormat="1" x14ac:dyDescent="0.2">
      <c r="B219" s="758" t="s">
        <v>709</v>
      </c>
      <c r="C219" s="759" t="s">
        <v>724</v>
      </c>
      <c r="D219" s="760"/>
      <c r="E219" s="1043"/>
      <c r="F219" s="1043"/>
      <c r="G219" s="1043"/>
      <c r="H219" s="1060">
        <f>G121</f>
        <v>27.088352481666664</v>
      </c>
      <c r="J219" s="189"/>
      <c r="K219" s="189"/>
      <c r="L219" s="189"/>
      <c r="M219" s="189"/>
      <c r="N219" s="189"/>
      <c r="O219" s="189"/>
    </row>
    <row r="220" spans="2:15" s="192" customFormat="1" x14ac:dyDescent="0.2">
      <c r="B220" s="758" t="s">
        <v>710</v>
      </c>
      <c r="C220" s="759" t="s">
        <v>536</v>
      </c>
      <c r="D220" s="760"/>
      <c r="E220" s="1043"/>
      <c r="F220" s="1043"/>
      <c r="G220" s="1043"/>
      <c r="H220" s="1060">
        <f>G205</f>
        <v>5517.6232862302495</v>
      </c>
      <c r="J220" s="189"/>
      <c r="K220" s="189"/>
      <c r="L220" s="189"/>
      <c r="M220" s="189"/>
      <c r="N220" s="189"/>
      <c r="O220" s="189"/>
    </row>
    <row r="221" spans="2:15" s="192" customFormat="1" x14ac:dyDescent="0.2">
      <c r="B221" s="758" t="s">
        <v>729</v>
      </c>
      <c r="C221" s="759" t="s">
        <v>759</v>
      </c>
      <c r="D221" s="760"/>
      <c r="E221" s="1043"/>
      <c r="F221" s="1043"/>
      <c r="G221" s="1043"/>
      <c r="H221" s="1060">
        <f>G214</f>
        <v>25.817000000000004</v>
      </c>
      <c r="J221" s="189"/>
      <c r="K221" s="189"/>
      <c r="L221" s="189"/>
      <c r="M221" s="189"/>
      <c r="N221" s="189"/>
      <c r="O221" s="189"/>
    </row>
    <row r="222" spans="2:15" s="192" customFormat="1" ht="15" x14ac:dyDescent="0.2">
      <c r="B222" s="774"/>
      <c r="C222" s="775" t="s">
        <v>535</v>
      </c>
      <c r="D222" s="775"/>
      <c r="E222" s="1155"/>
      <c r="F222" s="1155"/>
      <c r="G222" s="1156"/>
      <c r="H222" s="1157">
        <f>SUM(H217:H221)</f>
        <v>7130.3548637728272</v>
      </c>
      <c r="J222" s="189"/>
      <c r="K222" s="189"/>
      <c r="L222" s="189"/>
      <c r="M222" s="189"/>
      <c r="N222" s="189"/>
      <c r="O222" s="189"/>
    </row>
    <row r="223" spans="2:15" x14ac:dyDescent="0.2">
      <c r="B223" s="335"/>
      <c r="E223" s="881"/>
      <c r="F223" s="881"/>
      <c r="G223" s="881"/>
      <c r="H223" s="871"/>
    </row>
    <row r="224" spans="2:15" s="192" customFormat="1" ht="15" x14ac:dyDescent="0.2">
      <c r="B224" s="478" t="s">
        <v>541</v>
      </c>
      <c r="C224" s="479" t="s">
        <v>538</v>
      </c>
      <c r="D224" s="480"/>
      <c r="E224" s="1102"/>
      <c r="F224" s="1102"/>
      <c r="G224" s="1102"/>
      <c r="H224" s="1103"/>
      <c r="J224" s="189"/>
      <c r="K224" s="189"/>
      <c r="L224" s="189"/>
      <c r="M224" s="189"/>
      <c r="N224" s="189"/>
      <c r="O224" s="189"/>
    </row>
    <row r="225" spans="2:15" s="192" customFormat="1" ht="15" x14ac:dyDescent="0.2">
      <c r="B225" s="284"/>
      <c r="C225" s="285"/>
      <c r="D225" s="286"/>
      <c r="E225" s="895"/>
      <c r="F225" s="895"/>
      <c r="G225" s="895"/>
      <c r="H225" s="896"/>
    </row>
    <row r="226" spans="2:15" s="192" customFormat="1" ht="15" x14ac:dyDescent="0.2">
      <c r="B226" s="420" t="s">
        <v>7</v>
      </c>
      <c r="C226" s="421" t="s">
        <v>8</v>
      </c>
      <c r="D226" s="422"/>
      <c r="E226" s="1041"/>
      <c r="F226" s="1041" t="s">
        <v>12</v>
      </c>
      <c r="G226" s="1041"/>
      <c r="H226" s="1042"/>
      <c r="J226" s="189"/>
      <c r="K226" s="189"/>
      <c r="L226" s="189"/>
      <c r="M226" s="189"/>
      <c r="N226" s="189"/>
      <c r="O226" s="189"/>
    </row>
    <row r="227" spans="2:15" s="192" customFormat="1" ht="15" x14ac:dyDescent="0.25">
      <c r="B227" s="517" t="s">
        <v>104</v>
      </c>
      <c r="C227" s="518" t="s">
        <v>539</v>
      </c>
      <c r="D227" s="519"/>
      <c r="E227" s="1124"/>
      <c r="F227" s="1125">
        <v>0</v>
      </c>
      <c r="G227" s="1124"/>
      <c r="H227" s="1126"/>
      <c r="J227" s="189"/>
      <c r="K227" s="189"/>
      <c r="L227" s="189"/>
      <c r="M227" s="189"/>
      <c r="N227" s="189"/>
      <c r="O227" s="189"/>
    </row>
    <row r="228" spans="2:15" s="192" customFormat="1" ht="15" x14ac:dyDescent="0.2">
      <c r="B228" s="501"/>
      <c r="C228" s="502" t="s">
        <v>540</v>
      </c>
      <c r="D228" s="502"/>
      <c r="E228" s="1095"/>
      <c r="F228" s="1048">
        <f>SUM(F227:F227)</f>
        <v>0</v>
      </c>
      <c r="G228" s="1048"/>
      <c r="H228" s="1099"/>
      <c r="J228" s="189"/>
      <c r="K228" s="189"/>
      <c r="L228" s="189"/>
      <c r="M228" s="189"/>
      <c r="N228" s="189"/>
      <c r="O228" s="189"/>
    </row>
    <row r="229" spans="2:15" s="192" customFormat="1" x14ac:dyDescent="0.2">
      <c r="B229" s="335"/>
      <c r="C229" s="189"/>
      <c r="D229" s="193"/>
      <c r="E229" s="993"/>
      <c r="F229" s="1062"/>
      <c r="G229" s="881"/>
      <c r="H229" s="871"/>
      <c r="J229" s="189"/>
      <c r="K229" s="189"/>
      <c r="L229" s="189"/>
      <c r="M229" s="189"/>
      <c r="N229" s="189"/>
      <c r="O229" s="189"/>
    </row>
    <row r="230" spans="2:15" s="192" customFormat="1" ht="15" x14ac:dyDescent="0.2">
      <c r="B230" s="515"/>
      <c r="C230" s="516" t="s">
        <v>567</v>
      </c>
      <c r="D230" s="516"/>
      <c r="E230" s="1123"/>
      <c r="F230" s="1100">
        <f>F228+H222</f>
        <v>7130.3548637728272</v>
      </c>
      <c r="G230" s="1100"/>
      <c r="H230" s="1101"/>
      <c r="J230" s="189"/>
      <c r="K230" s="189"/>
      <c r="L230" s="189"/>
      <c r="M230" s="189"/>
      <c r="N230" s="189"/>
      <c r="O230" s="189"/>
    </row>
    <row r="231" spans="2:15" s="192" customFormat="1" x14ac:dyDescent="0.2">
      <c r="B231" s="335"/>
      <c r="C231" s="189"/>
      <c r="D231" s="193"/>
      <c r="E231" s="993"/>
      <c r="F231" s="993"/>
      <c r="G231" s="881"/>
      <c r="H231" s="871"/>
      <c r="J231" s="189"/>
      <c r="K231" s="189"/>
      <c r="L231" s="189"/>
      <c r="M231" s="189"/>
      <c r="N231" s="189"/>
      <c r="O231" s="189"/>
    </row>
    <row r="232" spans="2:15" s="192" customFormat="1" ht="15" x14ac:dyDescent="0.2">
      <c r="B232" s="478" t="s">
        <v>711</v>
      </c>
      <c r="C232" s="479" t="s">
        <v>542</v>
      </c>
      <c r="D232" s="480"/>
      <c r="E232" s="1102"/>
      <c r="F232" s="1103"/>
      <c r="G232" s="1145"/>
      <c r="H232" s="1146"/>
      <c r="J232" s="189"/>
      <c r="K232" s="189"/>
      <c r="L232" s="189"/>
      <c r="M232" s="189"/>
      <c r="N232" s="189"/>
      <c r="O232" s="189"/>
    </row>
    <row r="233" spans="2:15" s="192" customFormat="1" ht="15" x14ac:dyDescent="0.25">
      <c r="B233" s="517" t="s">
        <v>7</v>
      </c>
      <c r="C233" s="518" t="s">
        <v>8</v>
      </c>
      <c r="D233" s="519" t="s">
        <v>9</v>
      </c>
      <c r="E233" s="1124" t="s">
        <v>69</v>
      </c>
      <c r="F233" s="1127" t="s">
        <v>12</v>
      </c>
      <c r="G233" s="881"/>
      <c r="H233" s="871"/>
      <c r="J233" s="189"/>
      <c r="K233" s="189"/>
      <c r="L233" s="189"/>
      <c r="M233" s="189"/>
      <c r="N233" s="189"/>
      <c r="O233" s="189"/>
    </row>
    <row r="234" spans="2:15" s="192" customFormat="1" x14ac:dyDescent="0.2">
      <c r="B234" s="408" t="s">
        <v>273</v>
      </c>
      <c r="C234" s="409" t="s">
        <v>543</v>
      </c>
      <c r="D234" s="193" t="s">
        <v>1</v>
      </c>
      <c r="E234" s="1022">
        <v>4.93</v>
      </c>
      <c r="F234" s="1128"/>
      <c r="G234" s="881"/>
      <c r="H234" s="871"/>
      <c r="J234" s="189"/>
      <c r="K234" s="189"/>
      <c r="L234" s="189"/>
      <c r="M234" s="189"/>
      <c r="N234" s="189"/>
      <c r="O234" s="189"/>
    </row>
    <row r="235" spans="2:15" s="192" customFormat="1" x14ac:dyDescent="0.2">
      <c r="B235" s="408" t="s">
        <v>712</v>
      </c>
      <c r="C235" s="411" t="s">
        <v>545</v>
      </c>
      <c r="D235" s="193" t="s">
        <v>1</v>
      </c>
      <c r="E235" s="1024">
        <v>0.99</v>
      </c>
      <c r="F235" s="1128"/>
      <c r="G235" s="881"/>
      <c r="H235" s="871"/>
      <c r="J235" s="189"/>
      <c r="K235" s="189"/>
      <c r="L235" s="189"/>
      <c r="M235" s="189"/>
      <c r="N235" s="189"/>
      <c r="O235" s="189"/>
    </row>
    <row r="236" spans="2:15" s="192" customFormat="1" x14ac:dyDescent="0.2">
      <c r="B236" s="408" t="s">
        <v>713</v>
      </c>
      <c r="C236" s="411" t="s">
        <v>547</v>
      </c>
      <c r="D236" s="193" t="s">
        <v>1</v>
      </c>
      <c r="E236" s="1024">
        <f>SUM(E237:E238)</f>
        <v>1.88</v>
      </c>
      <c r="F236" s="1128"/>
      <c r="G236" s="881"/>
      <c r="H236" s="871"/>
      <c r="J236" s="189"/>
      <c r="K236" s="189"/>
      <c r="L236" s="189"/>
      <c r="M236" s="189"/>
      <c r="N236" s="189"/>
      <c r="O236" s="189"/>
    </row>
    <row r="237" spans="2:15" s="192" customFormat="1" x14ac:dyDescent="0.2">
      <c r="B237" s="408" t="s">
        <v>714</v>
      </c>
      <c r="C237" s="411" t="s">
        <v>568</v>
      </c>
      <c r="D237" s="193" t="s">
        <v>1</v>
      </c>
      <c r="E237" s="1024">
        <v>0.49</v>
      </c>
      <c r="F237" s="1128"/>
      <c r="G237" s="881"/>
      <c r="H237" s="871"/>
      <c r="J237" s="189"/>
      <c r="K237" s="189"/>
      <c r="L237" s="189"/>
      <c r="M237" s="189"/>
      <c r="N237" s="189"/>
      <c r="O237" s="189"/>
    </row>
    <row r="238" spans="2:15" s="192" customFormat="1" x14ac:dyDescent="0.2">
      <c r="B238" s="408" t="s">
        <v>715</v>
      </c>
      <c r="C238" s="411" t="s">
        <v>551</v>
      </c>
      <c r="D238" s="193" t="s">
        <v>1</v>
      </c>
      <c r="E238" s="1024">
        <v>1.39</v>
      </c>
      <c r="F238" s="1128"/>
      <c r="G238" s="881"/>
      <c r="H238" s="871"/>
      <c r="J238" s="189"/>
      <c r="K238" s="189"/>
      <c r="L238" s="189"/>
      <c r="M238" s="189"/>
      <c r="N238" s="189"/>
      <c r="O238" s="189"/>
    </row>
    <row r="239" spans="2:15" s="192" customFormat="1" x14ac:dyDescent="0.2">
      <c r="B239" s="408" t="s">
        <v>716</v>
      </c>
      <c r="C239" s="411" t="s">
        <v>553</v>
      </c>
      <c r="D239" s="193" t="s">
        <v>1</v>
      </c>
      <c r="E239" s="1024">
        <f>SUM(E240:E242)</f>
        <v>6.65</v>
      </c>
      <c r="F239" s="1128"/>
      <c r="G239" s="881"/>
      <c r="H239" s="871"/>
      <c r="J239" s="189"/>
      <c r="K239" s="189"/>
      <c r="L239" s="189"/>
      <c r="M239" s="189"/>
      <c r="N239" s="189"/>
      <c r="O239" s="189"/>
    </row>
    <row r="240" spans="2:15" s="192" customFormat="1" x14ac:dyDescent="0.2">
      <c r="B240" s="408" t="s">
        <v>717</v>
      </c>
      <c r="C240" s="411" t="s">
        <v>555</v>
      </c>
      <c r="D240" s="193" t="s">
        <v>1</v>
      </c>
      <c r="E240" s="1024">
        <v>3</v>
      </c>
      <c r="F240" s="1128"/>
      <c r="G240" s="881"/>
      <c r="H240" s="871"/>
      <c r="J240" s="189"/>
      <c r="K240" s="189"/>
      <c r="L240" s="189"/>
      <c r="M240" s="189"/>
      <c r="N240" s="189"/>
      <c r="O240" s="189"/>
    </row>
    <row r="241" spans="1:15" s="192" customFormat="1" x14ac:dyDescent="0.2">
      <c r="B241" s="408" t="s">
        <v>718</v>
      </c>
      <c r="C241" s="411" t="s">
        <v>557</v>
      </c>
      <c r="D241" s="193" t="s">
        <v>1</v>
      </c>
      <c r="E241" s="1024">
        <v>0.65</v>
      </c>
      <c r="F241" s="1128"/>
      <c r="G241" s="881"/>
      <c r="H241" s="871"/>
      <c r="J241" s="189"/>
      <c r="K241" s="189"/>
      <c r="L241" s="189"/>
      <c r="M241" s="189"/>
      <c r="N241" s="189"/>
      <c r="O241" s="189"/>
    </row>
    <row r="242" spans="1:15" s="192" customFormat="1" x14ac:dyDescent="0.2">
      <c r="B242" s="408" t="s">
        <v>719</v>
      </c>
      <c r="C242" s="411" t="s">
        <v>559</v>
      </c>
      <c r="D242" s="193" t="s">
        <v>1</v>
      </c>
      <c r="E242" s="1024">
        <v>3</v>
      </c>
      <c r="F242" s="1128"/>
      <c r="G242" s="881"/>
      <c r="H242" s="871"/>
      <c r="J242" s="189"/>
      <c r="K242" s="189"/>
      <c r="L242" s="189"/>
      <c r="M242" s="189"/>
      <c r="N242" s="189"/>
      <c r="O242" s="189"/>
    </row>
    <row r="243" spans="1:15" s="192" customFormat="1" x14ac:dyDescent="0.2">
      <c r="B243" s="408" t="s">
        <v>720</v>
      </c>
      <c r="C243" s="411" t="s">
        <v>561</v>
      </c>
      <c r="D243" s="193" t="s">
        <v>1</v>
      </c>
      <c r="E243" s="1024">
        <v>8.0399999999999991</v>
      </c>
      <c r="F243" s="1128"/>
      <c r="G243" s="881"/>
      <c r="H243" s="871"/>
      <c r="J243" s="189"/>
      <c r="K243" s="189"/>
      <c r="L243" s="189"/>
      <c r="M243" s="189"/>
      <c r="N243" s="189"/>
      <c r="O243" s="189"/>
    </row>
    <row r="244" spans="1:15" s="192" customFormat="1" x14ac:dyDescent="0.2">
      <c r="B244" s="408" t="s">
        <v>721</v>
      </c>
      <c r="C244" s="411" t="s">
        <v>562</v>
      </c>
      <c r="D244" s="193" t="s">
        <v>1</v>
      </c>
      <c r="E244" s="1024">
        <f>(((1+(E234+E236)/100)*(1+E235/100)*(1+E243/100)/(1-E239/100))-1)*100</f>
        <v>24.841949102945904</v>
      </c>
      <c r="F244" s="1128"/>
      <c r="G244" s="881"/>
      <c r="H244" s="871"/>
      <c r="J244" s="189"/>
      <c r="K244" s="189"/>
      <c r="L244" s="189"/>
      <c r="M244" s="189"/>
      <c r="N244" s="189"/>
      <c r="O244" s="189"/>
    </row>
    <row r="245" spans="1:15" s="192" customFormat="1" x14ac:dyDescent="0.2">
      <c r="B245" s="223"/>
      <c r="C245" s="559" t="s">
        <v>563</v>
      </c>
      <c r="D245" s="560"/>
      <c r="E245" s="1129"/>
      <c r="F245" s="1130">
        <f>F230*(E244/100)</f>
        <v>1771.3191261178736</v>
      </c>
      <c r="G245" s="881"/>
      <c r="H245" s="871"/>
      <c r="J245" s="189"/>
      <c r="K245" s="189"/>
      <c r="L245" s="189"/>
      <c r="M245" s="189"/>
      <c r="N245" s="189"/>
      <c r="O245" s="189"/>
    </row>
    <row r="246" spans="1:15" s="192" customFormat="1" x14ac:dyDescent="0.2">
      <c r="B246" s="335"/>
      <c r="C246" s="189"/>
      <c r="D246" s="193"/>
      <c r="E246" s="993"/>
      <c r="F246" s="993"/>
      <c r="G246" s="881"/>
      <c r="H246" s="871"/>
      <c r="J246" s="189"/>
      <c r="K246" s="189"/>
      <c r="L246" s="189"/>
      <c r="M246" s="189"/>
      <c r="N246" s="189"/>
      <c r="O246" s="189"/>
    </row>
    <row r="247" spans="1:15" s="192" customFormat="1" ht="15" x14ac:dyDescent="0.2">
      <c r="A247" s="567"/>
      <c r="B247" s="418" t="s">
        <v>768</v>
      </c>
      <c r="C247" s="161" t="s">
        <v>801</v>
      </c>
      <c r="D247" s="160"/>
      <c r="E247" s="1039"/>
      <c r="F247" s="1039"/>
      <c r="G247" s="1039"/>
      <c r="H247" s="1040"/>
      <c r="J247" s="189"/>
      <c r="K247" s="189"/>
      <c r="L247" s="189"/>
      <c r="M247" s="189"/>
      <c r="N247" s="189"/>
      <c r="O247" s="189"/>
    </row>
    <row r="248" spans="1:15" s="192" customFormat="1" x14ac:dyDescent="0.2">
      <c r="A248" s="567"/>
      <c r="B248" s="335" t="s">
        <v>275</v>
      </c>
      <c r="C248" s="192" t="s">
        <v>800</v>
      </c>
      <c r="D248" s="193"/>
      <c r="E248" s="1144"/>
      <c r="F248" s="955"/>
      <c r="G248" s="955"/>
      <c r="H248" s="884"/>
      <c r="J248" s="189"/>
      <c r="K248" s="189"/>
      <c r="L248" s="189"/>
      <c r="M248" s="189"/>
      <c r="N248" s="189"/>
      <c r="O248" s="189"/>
    </row>
    <row r="249" spans="1:15" s="192" customFormat="1" ht="15" x14ac:dyDescent="0.2">
      <c r="B249" s="448"/>
      <c r="C249" s="441"/>
      <c r="D249" s="441"/>
      <c r="E249" s="1048" t="s">
        <v>726</v>
      </c>
      <c r="F249" s="1048"/>
      <c r="G249" s="1048"/>
      <c r="H249" s="1099"/>
      <c r="J249" s="189"/>
      <c r="K249" s="189"/>
      <c r="L249" s="189"/>
      <c r="M249" s="189"/>
      <c r="N249" s="189"/>
      <c r="O249" s="189"/>
    </row>
    <row r="250" spans="1:15" s="192" customFormat="1" ht="15" thickBot="1" x14ac:dyDescent="0.25">
      <c r="B250" s="335"/>
      <c r="C250" s="189"/>
      <c r="D250" s="193"/>
      <c r="E250" s="993"/>
      <c r="F250" s="993"/>
      <c r="G250" s="881"/>
      <c r="H250" s="871"/>
      <c r="J250" s="189"/>
      <c r="K250" s="189"/>
      <c r="L250" s="189"/>
      <c r="M250" s="189"/>
      <c r="N250" s="189"/>
      <c r="O250" s="189"/>
    </row>
    <row r="251" spans="1:15" s="192" customFormat="1" ht="15" x14ac:dyDescent="0.25">
      <c r="B251" s="335"/>
      <c r="C251" s="762" t="s">
        <v>564</v>
      </c>
      <c r="D251" s="747"/>
      <c r="E251" s="1131"/>
      <c r="F251" s="1132">
        <f>F230+F245+G249</f>
        <v>8901.6739898906999</v>
      </c>
      <c r="G251" s="881"/>
      <c r="H251" s="871"/>
      <c r="J251" s="189"/>
      <c r="K251" s="189"/>
      <c r="L251" s="189"/>
      <c r="M251" s="189"/>
      <c r="N251" s="189"/>
      <c r="O251" s="189"/>
    </row>
    <row r="252" spans="1:15" s="192" customFormat="1" ht="15" x14ac:dyDescent="0.25">
      <c r="B252" s="335"/>
      <c r="C252" s="765" t="s">
        <v>617</v>
      </c>
      <c r="D252" s="766"/>
      <c r="E252" s="1133"/>
      <c r="F252" s="1134">
        <v>9.1</v>
      </c>
      <c r="G252" s="1026"/>
      <c r="H252" s="871"/>
      <c r="J252" s="189"/>
      <c r="K252" s="189"/>
      <c r="L252" s="189"/>
      <c r="M252" s="189"/>
      <c r="N252" s="189"/>
      <c r="O252" s="189"/>
    </row>
    <row r="253" spans="1:15" s="192" customFormat="1" ht="15.75" thickBot="1" x14ac:dyDescent="0.3">
      <c r="B253" s="189"/>
      <c r="C253" s="780" t="s">
        <v>607</v>
      </c>
      <c r="D253" s="781"/>
      <c r="E253" s="1158"/>
      <c r="F253" s="1159">
        <f>F251/F252</f>
        <v>978.20593295502204</v>
      </c>
      <c r="G253" s="1160"/>
      <c r="H253" s="881"/>
      <c r="J253" s="189"/>
      <c r="K253" s="189"/>
      <c r="L253" s="189"/>
      <c r="M253" s="189"/>
      <c r="N253" s="189"/>
      <c r="O253" s="189"/>
    </row>
  </sheetData>
  <sheetProtection algorithmName="SHA-512" hashValue="LdFvqDVpHo8yqeVphzzGcCx+tS00LVqsnr81nlJJZbngOn8Kh242ZWg3M4TQX/GNHLTJb7DRmk3c2KH29zNsyA==" saltValue="puMSnapFZs9ZAJlV7djWbA==" spinCount="100000" sheet="1" objects="1" scenarios="1"/>
  <mergeCells count="1">
    <mergeCell ref="B7:H7"/>
  </mergeCells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250"/>
  <sheetViews>
    <sheetView showGridLines="0" topLeftCell="B235" zoomScaleNormal="100" zoomScaleSheetLayoutView="100" workbookViewId="0">
      <selection activeCell="E12" sqref="E12:H250"/>
    </sheetView>
  </sheetViews>
  <sheetFormatPr defaultColWidth="0" defaultRowHeight="14.25" zeroHeight="1" x14ac:dyDescent="0.2"/>
  <cols>
    <col min="1" max="1" width="5.140625" style="192" hidden="1" customWidth="1"/>
    <col min="2" max="2" width="11.42578125" style="189" customWidth="1"/>
    <col min="3" max="3" width="44.7109375" style="777" customWidth="1"/>
    <col min="4" max="5" width="17.28515625" style="778" customWidth="1"/>
    <col min="6" max="6" width="16.28515625" style="779" customWidth="1"/>
    <col min="7" max="7" width="17.28515625" style="192" bestFit="1" customWidth="1"/>
    <col min="8" max="8" width="15.28515625" style="192" customWidth="1"/>
    <col min="9" max="9" width="23.7109375" style="192" hidden="1" customWidth="1"/>
    <col min="10" max="12" width="11.42578125" style="189" hidden="1" customWidth="1"/>
    <col min="13" max="13" width="12.140625" style="189" hidden="1" customWidth="1"/>
    <col min="14" max="15" width="0" style="189" hidden="1" customWidth="1"/>
    <col min="16" max="16384" width="11.42578125" style="189" hidden="1"/>
  </cols>
  <sheetData>
    <row r="1" spans="1:15" x14ac:dyDescent="0.2">
      <c r="C1" s="192"/>
      <c r="D1" s="192"/>
      <c r="E1" s="192"/>
      <c r="F1" s="192"/>
    </row>
    <row r="2" spans="1:15" x14ac:dyDescent="0.2">
      <c r="C2" s="192"/>
      <c r="D2" s="192"/>
      <c r="E2" s="192"/>
      <c r="F2" s="192"/>
    </row>
    <row r="3" spans="1:15" x14ac:dyDescent="0.2">
      <c r="C3" s="192"/>
      <c r="D3" s="192"/>
      <c r="E3" s="192"/>
      <c r="F3" s="192"/>
    </row>
    <row r="4" spans="1:15" x14ac:dyDescent="0.2">
      <c r="C4" s="192"/>
      <c r="D4" s="192"/>
      <c r="E4" s="192"/>
      <c r="F4" s="192"/>
    </row>
    <row r="5" spans="1:15" x14ac:dyDescent="0.2">
      <c r="C5" s="192"/>
      <c r="D5" s="192"/>
      <c r="E5" s="192"/>
      <c r="F5" s="192"/>
    </row>
    <row r="6" spans="1:15" x14ac:dyDescent="0.2">
      <c r="C6" s="192"/>
      <c r="D6" s="192"/>
      <c r="E6" s="192"/>
      <c r="F6" s="192"/>
    </row>
    <row r="7" spans="1:15" ht="27" customHeight="1" x14ac:dyDescent="0.25">
      <c r="B7" s="826" t="s">
        <v>899</v>
      </c>
      <c r="C7" s="827"/>
      <c r="D7" s="827"/>
      <c r="E7" s="827"/>
      <c r="F7" s="827"/>
      <c r="G7" s="827"/>
      <c r="H7" s="828"/>
      <c r="I7" s="468"/>
      <c r="J7" s="469"/>
      <c r="K7" s="192"/>
      <c r="L7" s="192"/>
      <c r="M7" s="192"/>
      <c r="N7" s="192"/>
      <c r="O7" s="192"/>
    </row>
    <row r="8" spans="1:15" x14ac:dyDescent="0.2">
      <c r="B8" s="333"/>
      <c r="C8" s="192"/>
      <c r="D8" s="192"/>
      <c r="E8" s="192"/>
      <c r="F8" s="192"/>
      <c r="H8" s="334"/>
      <c r="J8" s="192"/>
      <c r="K8" s="192"/>
      <c r="L8" s="192"/>
      <c r="M8" s="192"/>
      <c r="N8" s="192"/>
      <c r="O8" s="192"/>
    </row>
    <row r="9" spans="1:15" ht="15" x14ac:dyDescent="0.2">
      <c r="B9" s="478" t="s">
        <v>2</v>
      </c>
      <c r="C9" s="479" t="s">
        <v>18</v>
      </c>
      <c r="D9" s="480"/>
      <c r="E9" s="480"/>
      <c r="F9" s="480"/>
      <c r="G9" s="480"/>
      <c r="H9" s="481"/>
    </row>
    <row r="10" spans="1:15" ht="15" x14ac:dyDescent="0.2">
      <c r="B10" s="420" t="s">
        <v>7</v>
      </c>
      <c r="C10" s="422" t="s">
        <v>8</v>
      </c>
      <c r="D10" s="422" t="s">
        <v>9</v>
      </c>
      <c r="E10" s="422" t="s">
        <v>10</v>
      </c>
      <c r="F10" s="422" t="s">
        <v>11</v>
      </c>
      <c r="G10" s="422" t="s">
        <v>12</v>
      </c>
      <c r="H10" s="423"/>
      <c r="I10" s="190"/>
    </row>
    <row r="11" spans="1:15" ht="15" x14ac:dyDescent="0.25">
      <c r="B11" s="482" t="s">
        <v>88</v>
      </c>
      <c r="C11" s="483" t="s">
        <v>19</v>
      </c>
      <c r="D11" s="484"/>
      <c r="E11" s="484"/>
      <c r="F11" s="484"/>
      <c r="G11" s="484"/>
      <c r="H11" s="485"/>
      <c r="I11" s="357"/>
    </row>
    <row r="12" spans="1:15" x14ac:dyDescent="0.2">
      <c r="A12" s="192" t="s">
        <v>96</v>
      </c>
      <c r="B12" s="335" t="str">
        <f>IF(C12="","",$B$11&amp;"."&amp;COUNT($F$12:F12))</f>
        <v>1.1.1</v>
      </c>
      <c r="C12" s="192" t="s">
        <v>20</v>
      </c>
      <c r="D12" s="190" t="s">
        <v>21</v>
      </c>
      <c r="E12" s="193">
        <f>SUMIFS('2. DADOS DE ENTRADA'!C:C,'2. DADOS DE ENTRADA'!A:A,'10.TRANS. DEST. FINAL VOL. '!A12,'2. DADOS DE ENTRADA'!B:B,'10.TRANS. DEST. FINAL VOL. '!$C$11)</f>
        <v>173.38</v>
      </c>
      <c r="F12" s="337">
        <f>'3. PREÇOS UNITÁRIOS'!D22/'10.TRANS. DEST. FINAL VOL. '!E12</f>
        <v>13.474592225170147</v>
      </c>
      <c r="G12" s="337">
        <f>E12*F12</f>
        <v>2336.2248</v>
      </c>
      <c r="H12" s="336"/>
      <c r="I12" s="357"/>
    </row>
    <row r="13" spans="1:15" x14ac:dyDescent="0.2">
      <c r="A13" s="192" t="s">
        <v>88</v>
      </c>
      <c r="B13" s="335" t="str">
        <f>IF(C13="","",$B$11&amp;"."&amp;COUNT($F$12:F13))</f>
        <v>1.1.2</v>
      </c>
      <c r="C13" s="192" t="s">
        <v>22</v>
      </c>
      <c r="D13" s="190" t="s">
        <v>1</v>
      </c>
      <c r="E13" s="338">
        <f>SUMIFS('2. DADOS DE ENTRADA'!C:C,'2. DADOS DE ENTRADA'!A:A,'10.TRANS. DEST. FINAL VOL. '!A13,'2. DADOS DE ENTRADA'!B:B,'10.TRANS. DEST. FINAL VOL. '!$C$11)</f>
        <v>0.4</v>
      </c>
      <c r="F13" s="337">
        <f>'3. PREÇOS UNITÁRIOS'!D21</f>
        <v>1412</v>
      </c>
      <c r="G13" s="337">
        <f>E13*F13</f>
        <v>564.80000000000007</v>
      </c>
      <c r="H13" s="336"/>
      <c r="I13" s="337"/>
      <c r="J13" s="224"/>
    </row>
    <row r="14" spans="1:15" ht="15" x14ac:dyDescent="0.25">
      <c r="B14" s="335"/>
      <c r="C14" s="192"/>
      <c r="D14" s="190"/>
      <c r="E14" s="338"/>
      <c r="F14" s="337"/>
      <c r="G14" s="339">
        <f>SUM(G12:G13)</f>
        <v>2901.0248000000001</v>
      </c>
      <c r="H14" s="336"/>
      <c r="I14" s="337"/>
      <c r="J14" s="224"/>
    </row>
    <row r="15" spans="1:15" ht="15" x14ac:dyDescent="0.25">
      <c r="A15" s="192" t="s">
        <v>109</v>
      </c>
      <c r="B15" s="335" t="str">
        <f>IF(C15="","",$B$11&amp;"."&amp;COUNT($F$12:F15))</f>
        <v>1.1.3</v>
      </c>
      <c r="C15" s="192" t="s">
        <v>254</v>
      </c>
      <c r="D15" s="190" t="s">
        <v>21</v>
      </c>
      <c r="E15" s="193">
        <f>SUMIFS('2. DADOS DE ENTRADA'!D:D,'2. DADOS DE ENTRADA'!A:A,'10.TRANS. DEST. FINAL VOL. '!A15,'2. DADOS DE ENTRADA'!B:B,'10.TRANS. DEST. FINAL VOL. '!C11)</f>
        <v>0</v>
      </c>
      <c r="F15" s="340">
        <f>(G14/E12)*1.5</f>
        <v>25.098265082477795</v>
      </c>
      <c r="G15" s="340">
        <f>F15*E15</f>
        <v>0</v>
      </c>
      <c r="H15" s="341"/>
      <c r="I15" s="403"/>
    </row>
    <row r="16" spans="1:15" ht="15" x14ac:dyDescent="0.25">
      <c r="A16" s="192" t="s">
        <v>95</v>
      </c>
      <c r="B16" s="335" t="str">
        <f>IF(C16="","",$B$11&amp;"."&amp;COUNT($F$12:F16))</f>
        <v>1.1.4</v>
      </c>
      <c r="C16" s="192" t="s">
        <v>255</v>
      </c>
      <c r="D16" s="190" t="s">
        <v>21</v>
      </c>
      <c r="E16" s="193">
        <f>SUMIFS('2. DADOS DE ENTRADA'!D:D,'2. DADOS DE ENTRADA'!A:A,'10.TRANS. DEST. FINAL VOL. '!A16,'2. DADOS DE ENTRADA'!B:B,'10.TRANS. DEST. FINAL VOL. '!C11)</f>
        <v>0</v>
      </c>
      <c r="F16" s="340">
        <f>(G14/E12)*2</f>
        <v>33.464353443303729</v>
      </c>
      <c r="G16" s="340">
        <f>F16*E16</f>
        <v>0</v>
      </c>
      <c r="H16" s="341"/>
      <c r="I16" s="403"/>
      <c r="J16" s="224"/>
    </row>
    <row r="17" spans="1:10" ht="15" x14ac:dyDescent="0.25">
      <c r="A17" s="379"/>
      <c r="B17" s="523" t="str">
        <f>IF(C17="","",$B$11&amp;"."&amp;COUNT($F$12:F17))</f>
        <v/>
      </c>
      <c r="C17" s="524"/>
      <c r="D17" s="524"/>
      <c r="E17" s="524"/>
      <c r="F17" s="525" t="s">
        <v>352</v>
      </c>
      <c r="G17" s="526">
        <f>G14+G15+G16</f>
        <v>2901.0248000000001</v>
      </c>
      <c r="H17" s="527"/>
      <c r="I17" s="403"/>
    </row>
    <row r="18" spans="1:10" x14ac:dyDescent="0.2">
      <c r="A18" s="192" t="s">
        <v>273</v>
      </c>
      <c r="B18" s="335" t="str">
        <f>IF(C18="","",$B$11&amp;"."&amp;COUNT($F$12:F18))</f>
        <v>1.1.5</v>
      </c>
      <c r="C18" s="192" t="s">
        <v>23</v>
      </c>
      <c r="D18" s="190" t="s">
        <v>1</v>
      </c>
      <c r="E18" s="342">
        <f>SUMIFS('2. DADOS DE ENTRADA'!C:C,'2. DADOS DE ENTRADA'!A:A,'10.TRANS. DEST. FINAL VOL. '!A18,'2. DADOS DE ENTRADA'!B:B,'10.TRANS. DEST. FINAL VOL. '!$C$11)</f>
        <v>0.71101040000000004</v>
      </c>
      <c r="F18" s="337">
        <f>G17</f>
        <v>2901.0248000000001</v>
      </c>
      <c r="G18" s="337">
        <f>(E18)*F18</f>
        <v>2062.6588034579204</v>
      </c>
      <c r="H18" s="336"/>
      <c r="I18" s="357"/>
    </row>
    <row r="19" spans="1:10" ht="15" x14ac:dyDescent="0.25">
      <c r="A19" s="379"/>
      <c r="B19" s="523" t="str">
        <f>IF(C19="","",$B$11&amp;"."&amp;COUNT($F$12:F19))</f>
        <v/>
      </c>
      <c r="C19" s="524"/>
      <c r="D19" s="524"/>
      <c r="E19" s="524"/>
      <c r="F19" s="525" t="s">
        <v>352</v>
      </c>
      <c r="G19" s="526">
        <f>G18+G17</f>
        <v>4963.683603457921</v>
      </c>
      <c r="H19" s="527"/>
      <c r="I19" s="357"/>
    </row>
    <row r="20" spans="1:10" x14ac:dyDescent="0.2">
      <c r="A20" s="192" t="s">
        <v>93</v>
      </c>
      <c r="B20" s="335" t="str">
        <f>IF(C20="","",$B$11&amp;"."&amp;COUNT($F$12:F20))</f>
        <v>1.1.6</v>
      </c>
      <c r="C20" s="192" t="s">
        <v>24</v>
      </c>
      <c r="D20" s="190" t="s">
        <v>25</v>
      </c>
      <c r="E20" s="343">
        <f>SUMIFS('2. DADOS DE ENTRADA'!AE:AE,'2. DADOS DE ENTRADA'!A:A,'10.TRANS. DEST. FINAL VOL. '!A20,'2. DADOS DE ENTRADA'!B:B,'10.TRANS. DEST. FINAL VOL. '!$C$11)+SUMIFS('2. DADOS DE ENTRADA'!U:U,'2. DADOS DE ENTRADA'!A:A,'10.TRANS. DEST. FINAL VOL. '!A20,'2. DADOS DE ENTRADA'!B:B,'10.TRANS. DEST. FINAL VOL. '!$C$11)</f>
        <v>4.3E-3</v>
      </c>
      <c r="F20" s="337">
        <f>G19</f>
        <v>4963.683603457921</v>
      </c>
      <c r="G20" s="337">
        <f>E20*F20</f>
        <v>21.343839494869059</v>
      </c>
      <c r="H20" s="336"/>
      <c r="I20" s="357"/>
    </row>
    <row r="21" spans="1:10" x14ac:dyDescent="0.2">
      <c r="A21" s="192" t="s">
        <v>93</v>
      </c>
      <c r="B21" s="335" t="str">
        <f>IF(C21="","",$B$11&amp;"."&amp;COUNT($F$12:F21))</f>
        <v>1.1.7</v>
      </c>
      <c r="C21" s="189" t="s">
        <v>26</v>
      </c>
      <c r="D21" s="193" t="s">
        <v>25</v>
      </c>
      <c r="E21" s="343">
        <f>SUMIFS('2. DADOS DE ENTRADA'!AG:AG,'2. DADOS DE ENTRADA'!A:A,'5. COLETA URBANA SEDE.DISTRITOS'!A22,'2. DADOS DE ENTRADA'!B:B,'5. COLETA URBANA SEDE.DISTRITOS'!$C$12)</f>
        <v>0</v>
      </c>
      <c r="F21" s="337">
        <f>G19</f>
        <v>4963.683603457921</v>
      </c>
      <c r="G21" s="337">
        <f>E21*F21</f>
        <v>0</v>
      </c>
      <c r="H21" s="334"/>
    </row>
    <row r="22" spans="1:10" x14ac:dyDescent="0.2">
      <c r="A22" s="192" t="s">
        <v>104</v>
      </c>
      <c r="B22" s="335" t="str">
        <f>IF(C22="","",$B$11&amp;"."&amp;COUNT($F$12:F22))</f>
        <v>1.1.8</v>
      </c>
      <c r="C22" s="192" t="s">
        <v>29</v>
      </c>
      <c r="D22" s="190" t="s">
        <v>4</v>
      </c>
      <c r="E22" s="343">
        <v>2</v>
      </c>
      <c r="F22" s="337">
        <v>18.54</v>
      </c>
      <c r="G22" s="337">
        <f>E22*F22</f>
        <v>37.08</v>
      </c>
      <c r="H22" s="344"/>
      <c r="I22" s="470"/>
      <c r="J22" s="471"/>
    </row>
    <row r="23" spans="1:10" x14ac:dyDescent="0.2">
      <c r="A23" s="192" t="s">
        <v>93</v>
      </c>
      <c r="B23" s="335" t="str">
        <f>IF(C23="","",$B$11&amp;"."&amp;COUNT($F$12:F23))</f>
        <v>1.1.9</v>
      </c>
      <c r="C23" s="192" t="s">
        <v>28</v>
      </c>
      <c r="D23" s="190" t="s">
        <v>25</v>
      </c>
      <c r="E23" s="343">
        <f>E20+E21</f>
        <v>4.3E-3</v>
      </c>
      <c r="F23" s="337">
        <f>'3. PREÇOS UNITÁRIOS'!D27</f>
        <v>327.45</v>
      </c>
      <c r="G23" s="337">
        <f>F23*E23</f>
        <v>1.4080349999999999</v>
      </c>
      <c r="H23" s="334"/>
    </row>
    <row r="24" spans="1:10" x14ac:dyDescent="0.2">
      <c r="B24" s="335" t="str">
        <f>IF(C24="","",$B$11&amp;"."&amp;COUNT($F$12:F24))</f>
        <v>1.1.10</v>
      </c>
      <c r="C24" s="192" t="s">
        <v>638</v>
      </c>
      <c r="D24" s="190" t="s">
        <v>25</v>
      </c>
      <c r="E24" s="343">
        <f>E23</f>
        <v>4.3E-3</v>
      </c>
      <c r="F24" s="337">
        <f>'3. PREÇOS UNITÁRIOS'!D29</f>
        <v>40</v>
      </c>
      <c r="G24" s="337">
        <f>F24*E24</f>
        <v>0.17199999999999999</v>
      </c>
      <c r="H24" s="334"/>
    </row>
    <row r="25" spans="1:10" ht="15" x14ac:dyDescent="0.25">
      <c r="A25" s="379"/>
      <c r="B25" s="528"/>
      <c r="C25" s="529"/>
      <c r="D25" s="529"/>
      <c r="E25" s="529"/>
      <c r="F25" s="530" t="s">
        <v>284</v>
      </c>
      <c r="G25" s="531">
        <f>G20+G21+G23+G24</f>
        <v>22.923874494869057</v>
      </c>
      <c r="H25" s="532"/>
      <c r="I25" s="347"/>
    </row>
    <row r="26" spans="1:10" s="192" customFormat="1" ht="15" x14ac:dyDescent="0.25">
      <c r="B26" s="345"/>
      <c r="D26" s="190"/>
      <c r="E26" s="190"/>
      <c r="F26" s="346"/>
      <c r="G26" s="347"/>
      <c r="H26" s="334"/>
      <c r="I26" s="357"/>
    </row>
    <row r="27" spans="1:10" ht="15" x14ac:dyDescent="0.25">
      <c r="B27" s="497" t="s">
        <v>89</v>
      </c>
      <c r="C27" s="498" t="s">
        <v>30</v>
      </c>
      <c r="D27" s="499"/>
      <c r="E27" s="499"/>
      <c r="F27" s="499"/>
      <c r="G27" s="499"/>
      <c r="H27" s="500"/>
      <c r="I27" s="357"/>
    </row>
    <row r="28" spans="1:10" x14ac:dyDescent="0.2">
      <c r="A28" s="192" t="s">
        <v>96</v>
      </c>
      <c r="B28" s="335" t="str">
        <f>IF(C28="","",$B$27&amp;"."&amp;COUNT($F$28:F28))</f>
        <v>1.2.1</v>
      </c>
      <c r="C28" s="192" t="s">
        <v>20</v>
      </c>
      <c r="D28" s="190" t="s">
        <v>21</v>
      </c>
      <c r="E28" s="190">
        <f>SUMIFS('2. DADOS DE ENTRADA'!C:C,'2. DADOS DE ENTRADA'!A:A,'10.TRANS. DEST. FINAL VOL. '!A28,'2. DADOS DE ENTRADA'!B:B,'10.TRANS. DEST. FINAL VOL. '!$C$27)</f>
        <v>133</v>
      </c>
      <c r="F28" s="337">
        <f>'3. PREÇOS UNITÁRIOS'!D23/'10.TRANS. DEST. FINAL VOL. '!E28</f>
        <v>12.233185714285714</v>
      </c>
      <c r="G28" s="337">
        <f>E28*F28</f>
        <v>1627.0137</v>
      </c>
      <c r="H28" s="336"/>
      <c r="I28" s="357"/>
    </row>
    <row r="29" spans="1:10" x14ac:dyDescent="0.2">
      <c r="A29" s="192" t="s">
        <v>88</v>
      </c>
      <c r="B29" s="335" t="str">
        <f>IF(C29="","",$B$27&amp;"."&amp;COUNT($F$28:F29))</f>
        <v>1.2.2</v>
      </c>
      <c r="C29" s="192" t="s">
        <v>22</v>
      </c>
      <c r="D29" s="190" t="s">
        <v>1</v>
      </c>
      <c r="E29" s="338">
        <f>SUMIFS('2. DADOS DE ENTRADA'!C:C,'2. DADOS DE ENTRADA'!A:A,'10.TRANS. DEST. FINAL VOL. '!A29,'2. DADOS DE ENTRADA'!B:B,'10.TRANS. DEST. FINAL VOL. '!$C$27)</f>
        <v>0.4</v>
      </c>
      <c r="F29" s="337">
        <f>'3. PREÇOS UNITÁRIOS'!D21</f>
        <v>1412</v>
      </c>
      <c r="G29" s="337">
        <f>E29*F29</f>
        <v>564.80000000000007</v>
      </c>
      <c r="H29" s="336"/>
      <c r="I29" s="472"/>
      <c r="J29" s="473"/>
    </row>
    <row r="30" spans="1:10" ht="15" x14ac:dyDescent="0.25">
      <c r="B30" s="335"/>
      <c r="C30" s="192"/>
      <c r="D30" s="190"/>
      <c r="E30" s="338"/>
      <c r="F30" s="337"/>
      <c r="G30" s="339">
        <f>SUM(G28:G29)</f>
        <v>2191.8137000000002</v>
      </c>
      <c r="H30" s="336"/>
      <c r="I30" s="472"/>
      <c r="J30" s="473"/>
    </row>
    <row r="31" spans="1:10" s="192" customFormat="1" ht="15" x14ac:dyDescent="0.25">
      <c r="A31" s="192" t="s">
        <v>109</v>
      </c>
      <c r="B31" s="335" t="str">
        <f>IF(C31="","",$B$27&amp;"."&amp;COUNT($F$28:F31))</f>
        <v>1.2.3</v>
      </c>
      <c r="C31" s="192" t="s">
        <v>254</v>
      </c>
      <c r="D31" s="190" t="s">
        <v>21</v>
      </c>
      <c r="E31" s="190">
        <f>SUMIFS('2. DADOS DE ENTRADA'!D:D,'2. DADOS DE ENTRADA'!A:A,'10.TRANS. DEST. FINAL VOL. '!A31,'2. DADOS DE ENTRADA'!B:B,'10.TRANS. DEST. FINAL VOL. '!C27)</f>
        <v>0</v>
      </c>
      <c r="F31" s="337">
        <f>(G30/E28)*1.5</f>
        <v>24.719703383458651</v>
      </c>
      <c r="G31" s="337">
        <f>(E31)*F31</f>
        <v>0</v>
      </c>
      <c r="H31" s="533"/>
      <c r="I31" s="357"/>
    </row>
    <row r="32" spans="1:10" s="192" customFormat="1" ht="15" x14ac:dyDescent="0.25">
      <c r="A32" s="192" t="s">
        <v>95</v>
      </c>
      <c r="B32" s="335" t="str">
        <f>IF(C32="","",$B$27&amp;"."&amp;COUNT($F$28:F32))</f>
        <v>1.2.4</v>
      </c>
      <c r="C32" s="192" t="s">
        <v>255</v>
      </c>
      <c r="D32" s="190" t="s">
        <v>21</v>
      </c>
      <c r="E32" s="190">
        <f>SUMIFS('2. DADOS DE ENTRADA'!D:D,'2. DADOS DE ENTRADA'!A:A,'10.TRANS. DEST. FINAL VOL. '!A32,'2. DADOS DE ENTRADA'!B:B,'10.TRANS. DEST. FINAL VOL. '!C27)</f>
        <v>0</v>
      </c>
      <c r="F32" s="337">
        <f>(G30/F28)*2</f>
        <v>358.33898890955868</v>
      </c>
      <c r="G32" s="337">
        <f>(E32)*F32</f>
        <v>0</v>
      </c>
      <c r="H32" s="533"/>
      <c r="I32" s="357"/>
    </row>
    <row r="33" spans="1:9" s="192" customFormat="1" ht="15" x14ac:dyDescent="0.25">
      <c r="A33" s="379"/>
      <c r="B33" s="523" t="str">
        <f>IF(C33="","",$B$27&amp;"."&amp;COUNT($F$28:F33))</f>
        <v/>
      </c>
      <c r="C33" s="524"/>
      <c r="D33" s="524"/>
      <c r="E33" s="524"/>
      <c r="F33" s="525" t="s">
        <v>352</v>
      </c>
      <c r="G33" s="526">
        <f>G30+G31+G32</f>
        <v>2191.8137000000002</v>
      </c>
      <c r="H33" s="527"/>
      <c r="I33" s="357"/>
    </row>
    <row r="34" spans="1:9" x14ac:dyDescent="0.2">
      <c r="A34" s="192" t="s">
        <v>273</v>
      </c>
      <c r="B34" s="335" t="str">
        <f>IF(C34="","",$B$27&amp;"."&amp;COUNT($F$28:F34))</f>
        <v>1.2.5</v>
      </c>
      <c r="C34" s="192" t="s">
        <v>23</v>
      </c>
      <c r="D34" s="190" t="s">
        <v>1</v>
      </c>
      <c r="E34" s="342">
        <f>SUMIFS('2. DADOS DE ENTRADA'!C:C,'2. DADOS DE ENTRADA'!A:A,'10.TRANS. DEST. FINAL VOL. '!A34,'2. DADOS DE ENTRADA'!B:B,'10.TRANS. DEST. FINAL VOL. '!$C$27)</f>
        <v>0.71101040000000004</v>
      </c>
      <c r="F34" s="337">
        <f>G33</f>
        <v>2191.8137000000002</v>
      </c>
      <c r="G34" s="337">
        <f>(E34)*F34</f>
        <v>1558.4023355624802</v>
      </c>
      <c r="H34" s="336"/>
      <c r="I34" s="357"/>
    </row>
    <row r="35" spans="1:9" ht="15" x14ac:dyDescent="0.25">
      <c r="A35" s="379"/>
      <c r="B35" s="523" t="str">
        <f>IF(C35="","",$B$27&amp;"."&amp;COUNT($F$28:F35))</f>
        <v/>
      </c>
      <c r="C35" s="524"/>
      <c r="D35" s="524"/>
      <c r="E35" s="524"/>
      <c r="F35" s="525" t="s">
        <v>353</v>
      </c>
      <c r="G35" s="526">
        <f>G33+G34</f>
        <v>3750.2160355624801</v>
      </c>
      <c r="H35" s="527"/>
      <c r="I35" s="357"/>
    </row>
    <row r="36" spans="1:9" x14ac:dyDescent="0.2">
      <c r="A36" s="192" t="s">
        <v>93</v>
      </c>
      <c r="B36" s="335" t="str">
        <f>IF(C36="","",$B$27&amp;"."&amp;COUNT($F$28:F36))</f>
        <v>1.2.6</v>
      </c>
      <c r="C36" s="192" t="s">
        <v>31</v>
      </c>
      <c r="D36" s="190" t="s">
        <v>25</v>
      </c>
      <c r="E36" s="343">
        <f>SUMIFS('2. DADOS DE ENTRADA'!T:T,'2. DADOS DE ENTRADA'!A:A,'10.TRANS. DEST. FINAL VOL. '!A36,'2. DADOS DE ENTRADA'!B:B,'10.TRANS. DEST. FINAL VOL. '!$C$27)+SUMIFS('2. DADOS DE ENTRADA'!U:U,'2. DADOS DE ENTRADA'!A:A,'10.TRANS. DEST. FINAL VOL. '!A36,'2. DADOS DE ENTRADA'!B:B,'10.TRANS. DEST. FINAL VOL. '!$C$27)</f>
        <v>0</v>
      </c>
      <c r="F36" s="337">
        <f>G35</f>
        <v>3750.2160355624801</v>
      </c>
      <c r="G36" s="337">
        <f>E36*F36</f>
        <v>0</v>
      </c>
      <c r="H36" s="336"/>
      <c r="I36" s="357"/>
    </row>
    <row r="37" spans="1:9" x14ac:dyDescent="0.2">
      <c r="A37" s="192" t="s">
        <v>93</v>
      </c>
      <c r="B37" s="335" t="str">
        <f>IF(C37="","",$B$27&amp;"."&amp;COUNT($F$28:F37))</f>
        <v>1.2.7</v>
      </c>
      <c r="C37" s="189" t="s">
        <v>26</v>
      </c>
      <c r="D37" s="193" t="s">
        <v>25</v>
      </c>
      <c r="E37" s="343">
        <f>SUMIFS('2. DADOS DE ENTRADA'!W:W,'2. DADOS DE ENTRADA'!A:A,'10.TRANS. DEST. FINAL VOL. '!A37,'2. DADOS DE ENTRADA'!B:B,'10.TRANS. DEST. FINAL VOL. '!$C$27)</f>
        <v>0</v>
      </c>
      <c r="F37" s="337">
        <f>G35</f>
        <v>3750.2160355624801</v>
      </c>
      <c r="G37" s="337">
        <f>E37*F37</f>
        <v>0</v>
      </c>
      <c r="H37" s="334"/>
    </row>
    <row r="38" spans="1:9" x14ac:dyDescent="0.2">
      <c r="A38" s="192" t="s">
        <v>104</v>
      </c>
      <c r="B38" s="335" t="str">
        <f>IF(C38="","",$B$27&amp;"."&amp;COUNT($F$28:F38))</f>
        <v>1.2.8</v>
      </c>
      <c r="C38" s="192" t="s">
        <v>29</v>
      </c>
      <c r="D38" s="190" t="s">
        <v>4</v>
      </c>
      <c r="E38" s="343">
        <f>SUMIFS('2. DADOS DE ENTRADA'!C:C,'2. DADOS DE ENTRADA'!A:A,'10.TRANS. DEST. FINAL VOL. '!A38,'2. DADOS DE ENTRADA'!B:B,'10.TRANS. DEST. FINAL VOL. '!$C$27)</f>
        <v>26</v>
      </c>
      <c r="F38" s="337">
        <f>'3. PREÇOS UNITÁRIOS'!D27/E38</f>
        <v>12.594230769230769</v>
      </c>
      <c r="G38" s="337">
        <f>E38*F38</f>
        <v>327.45</v>
      </c>
      <c r="H38" s="334"/>
      <c r="I38" s="470"/>
    </row>
    <row r="39" spans="1:9" x14ac:dyDescent="0.2">
      <c r="A39" s="192" t="s">
        <v>93</v>
      </c>
      <c r="B39" s="335" t="str">
        <f>IF(C39="","",$B$27&amp;"."&amp;COUNT($F$28:F39))</f>
        <v>1.2.9</v>
      </c>
      <c r="C39" s="192" t="s">
        <v>32</v>
      </c>
      <c r="D39" s="190" t="s">
        <v>25</v>
      </c>
      <c r="E39" s="343">
        <f>E36+E37</f>
        <v>0</v>
      </c>
      <c r="F39" s="337">
        <f>'3. PREÇOS UNITÁRIOS'!D27</f>
        <v>327.45</v>
      </c>
      <c r="G39" s="337">
        <f>F39*E39</f>
        <v>0</v>
      </c>
      <c r="H39" s="334"/>
    </row>
    <row r="40" spans="1:9" x14ac:dyDescent="0.2">
      <c r="B40" s="335" t="str">
        <f>IF(C40="","",$B$27&amp;"."&amp;COUNT($F$28:F40))</f>
        <v>1.2.10</v>
      </c>
      <c r="C40" s="192" t="s">
        <v>638</v>
      </c>
      <c r="D40" s="190" t="s">
        <v>25</v>
      </c>
      <c r="E40" s="343">
        <f>E39</f>
        <v>0</v>
      </c>
      <c r="F40" s="337">
        <f>'3. PREÇOS UNITÁRIOS'!D29</f>
        <v>40</v>
      </c>
      <c r="G40" s="337">
        <f>F40*E40</f>
        <v>0</v>
      </c>
      <c r="H40" s="334"/>
    </row>
    <row r="41" spans="1:9" ht="15" x14ac:dyDescent="0.25">
      <c r="A41" s="379"/>
      <c r="B41" s="528" t="str">
        <f>IF(C41="","",$B$27&amp;"."&amp;COUNT($F$28:F41))</f>
        <v/>
      </c>
      <c r="C41" s="529"/>
      <c r="D41" s="529"/>
      <c r="E41" s="529"/>
      <c r="F41" s="530" t="s">
        <v>285</v>
      </c>
      <c r="G41" s="531">
        <f>G36+G37+G39+G40</f>
        <v>0</v>
      </c>
      <c r="H41" s="532"/>
      <c r="I41" s="357"/>
    </row>
    <row r="42" spans="1:9" ht="15" x14ac:dyDescent="0.25">
      <c r="B42" s="335"/>
      <c r="C42" s="189"/>
      <c r="D42" s="193"/>
      <c r="E42" s="193"/>
      <c r="F42" s="348"/>
      <c r="G42" s="349"/>
      <c r="H42" s="350"/>
      <c r="I42" s="403"/>
    </row>
    <row r="43" spans="1:9" ht="15" x14ac:dyDescent="0.2">
      <c r="B43" s="489"/>
      <c r="C43" s="490"/>
      <c r="D43" s="490"/>
      <c r="E43" s="490" t="s">
        <v>34</v>
      </c>
      <c r="F43" s="490"/>
      <c r="G43" s="491">
        <f>G41+G25</f>
        <v>22.923874494869057</v>
      </c>
      <c r="H43" s="492"/>
      <c r="I43" s="357"/>
    </row>
    <row r="44" spans="1:9" x14ac:dyDescent="0.2">
      <c r="B44" s="335"/>
      <c r="C44" s="192"/>
      <c r="D44" s="190"/>
      <c r="E44" s="190"/>
      <c r="F44" s="357"/>
      <c r="G44" s="357"/>
      <c r="H44" s="336"/>
      <c r="I44" s="357"/>
    </row>
    <row r="45" spans="1:9" ht="15" x14ac:dyDescent="0.2">
      <c r="B45" s="493" t="s">
        <v>5</v>
      </c>
      <c r="C45" s="494" t="s">
        <v>72</v>
      </c>
      <c r="D45" s="495"/>
      <c r="E45" s="495"/>
      <c r="F45" s="495"/>
      <c r="G45" s="495"/>
      <c r="H45" s="496"/>
      <c r="I45" s="357"/>
    </row>
    <row r="46" spans="1:9" ht="15" x14ac:dyDescent="0.2">
      <c r="B46" s="322"/>
      <c r="C46" s="323"/>
      <c r="D46" s="154"/>
      <c r="E46" s="154"/>
      <c r="F46" s="154"/>
      <c r="G46" s="154"/>
      <c r="H46" s="324"/>
      <c r="I46" s="357"/>
    </row>
    <row r="47" spans="1:9" ht="15" x14ac:dyDescent="0.2">
      <c r="B47" s="420" t="s">
        <v>7</v>
      </c>
      <c r="C47" s="422" t="s">
        <v>8</v>
      </c>
      <c r="D47" s="422" t="s">
        <v>9</v>
      </c>
      <c r="E47" s="422" t="s">
        <v>10</v>
      </c>
      <c r="F47" s="422" t="s">
        <v>11</v>
      </c>
      <c r="G47" s="422" t="s">
        <v>12</v>
      </c>
      <c r="H47" s="423"/>
      <c r="I47" s="190"/>
    </row>
    <row r="48" spans="1:9" ht="15" x14ac:dyDescent="0.25">
      <c r="B48" s="497" t="s">
        <v>91</v>
      </c>
      <c r="C48" s="498" t="s">
        <v>281</v>
      </c>
      <c r="D48" s="499"/>
      <c r="E48" s="499"/>
      <c r="F48" s="499"/>
      <c r="G48" s="499"/>
      <c r="H48" s="500"/>
      <c r="I48" s="357"/>
    </row>
    <row r="49" spans="1:10" x14ac:dyDescent="0.2">
      <c r="A49" s="192" t="s">
        <v>92</v>
      </c>
      <c r="B49" s="335" t="str">
        <f>IF(C49="","",$B$48&amp;"."&amp;COUNT($F$49:F49))</f>
        <v>2.1.0</v>
      </c>
      <c r="C49" s="189" t="s">
        <v>87</v>
      </c>
      <c r="D49" s="193" t="s">
        <v>25</v>
      </c>
      <c r="E49" s="193">
        <f>SUMIFS('2. DADOS DE ENTRADA'!G:G,'2. DADOS DE ENTRADA'!A:A,'10.TRANS. DEST. FINAL VOL. '!A49,'2. DADOS DE ENTRADA'!B:B,'10.TRANS. DEST. FINAL VOL. '!C48)</f>
        <v>0</v>
      </c>
      <c r="F49" s="403"/>
      <c r="G49" s="403"/>
      <c r="H49" s="359"/>
      <c r="I49" s="403"/>
    </row>
    <row r="50" spans="1:10" x14ac:dyDescent="0.2">
      <c r="A50" s="192" t="s">
        <v>96</v>
      </c>
      <c r="B50" s="335" t="str">
        <f>IF(C50="","",$B$48&amp;"."&amp;COUNT($F$49:F50))</f>
        <v>2.1.1</v>
      </c>
      <c r="C50" s="189" t="s">
        <v>20</v>
      </c>
      <c r="D50" s="193" t="s">
        <v>21</v>
      </c>
      <c r="E50" s="193">
        <f>SUMIFS('2. DADOS DE ENTRADA'!C:C,'2. DADOS DE ENTRADA'!A:A,'10.TRANS. DEST. FINAL VOL. '!A50,'2. DADOS DE ENTRADA'!B:B,'10.TRANS. DEST. FINAL VOL. '!$C$48)</f>
        <v>120</v>
      </c>
      <c r="F50" s="337">
        <f>'3. PREÇOS UNITÁRIOS'!D24/'10.TRANS. DEST. FINAL VOL. '!E50</f>
        <v>13.5584475</v>
      </c>
      <c r="G50" s="337">
        <f t="shared" ref="G50:G55" si="0">E50*F50</f>
        <v>1627.0137</v>
      </c>
      <c r="H50" s="359"/>
      <c r="I50" s="403"/>
    </row>
    <row r="51" spans="1:10" x14ac:dyDescent="0.2">
      <c r="A51" s="192" t="s">
        <v>275</v>
      </c>
      <c r="B51" s="335" t="str">
        <f>IF(C51="","",$B$48&amp;"."&amp;COUNT($F$49:F51))</f>
        <v>2.1.2</v>
      </c>
      <c r="C51" s="189" t="s">
        <v>33</v>
      </c>
      <c r="D51" s="193" t="s">
        <v>1</v>
      </c>
      <c r="E51" s="535">
        <f>SUMIFS('2. DADOS DE ENTRADA'!C:C,'2. DADOS DE ENTRADA'!A:A,'10.TRANS. DEST. FINAL VOL. '!A51,'2. DADOS DE ENTRADA'!B:B,'10.TRANS. DEST. FINAL VOL. '!$C$48)</f>
        <v>0</v>
      </c>
      <c r="F51" s="337">
        <f>G50</f>
        <v>1627.0137</v>
      </c>
      <c r="G51" s="337">
        <f t="shared" si="0"/>
        <v>0</v>
      </c>
      <c r="H51" s="359"/>
      <c r="I51" s="403"/>
    </row>
    <row r="52" spans="1:10" x14ac:dyDescent="0.2">
      <c r="A52" s="192" t="s">
        <v>88</v>
      </c>
      <c r="B52" s="335" t="str">
        <f>IF(C52="","",$B$48&amp;"."&amp;COUNT($F$49:F52))</f>
        <v>2.1.3</v>
      </c>
      <c r="C52" s="189" t="s">
        <v>22</v>
      </c>
      <c r="D52" s="193" t="s">
        <v>1</v>
      </c>
      <c r="E52" s="535">
        <f>SUMIFS('2. DADOS DE ENTRADA'!C:C,'2. DADOS DE ENTRADA'!A:A,'10.TRANS. DEST. FINAL VOL. '!A52,'2. DADOS DE ENTRADA'!B:B,'10.TRANS. DEST. FINAL VOL. '!$C$48)</f>
        <v>0.4</v>
      </c>
      <c r="F52" s="337">
        <f>'3. PREÇOS UNITÁRIOS'!D21</f>
        <v>1412</v>
      </c>
      <c r="G52" s="337">
        <f t="shared" si="0"/>
        <v>564.80000000000007</v>
      </c>
      <c r="H52" s="359"/>
      <c r="I52" s="403"/>
      <c r="J52" s="224"/>
    </row>
    <row r="53" spans="1:10" ht="15" x14ac:dyDescent="0.25">
      <c r="B53" s="335"/>
      <c r="C53" s="189"/>
      <c r="D53" s="193"/>
      <c r="E53" s="535"/>
      <c r="F53" s="337"/>
      <c r="G53" s="339">
        <f>SUM(G50:G52)</f>
        <v>2191.8137000000002</v>
      </c>
      <c r="H53" s="359"/>
      <c r="I53" s="403"/>
      <c r="J53" s="224"/>
    </row>
    <row r="54" spans="1:10" x14ac:dyDescent="0.2">
      <c r="A54" s="192" t="s">
        <v>109</v>
      </c>
      <c r="B54" s="335" t="str">
        <f>IF(C54="","",$B$48&amp;"."&amp;COUNT($F$49:F54))</f>
        <v>2.1.4</v>
      </c>
      <c r="C54" s="189" t="s">
        <v>254</v>
      </c>
      <c r="D54" s="193" t="s">
        <v>35</v>
      </c>
      <c r="E54" s="193">
        <f>SUMIFS('2. DADOS DE ENTRADA'!D:D,'2. DADOS DE ENTRADA'!A:A,'10.TRANS. DEST. FINAL VOL. '!A54,'2. DADOS DE ENTRADA'!B:B,'10.TRANS. DEST. FINAL VOL. '!C48)</f>
        <v>0</v>
      </c>
      <c r="F54" s="337">
        <f>(G53/E50)*1.5</f>
        <v>27.397671250000002</v>
      </c>
      <c r="G54" s="337">
        <f t="shared" si="0"/>
        <v>0</v>
      </c>
      <c r="H54" s="350"/>
      <c r="I54" s="189"/>
    </row>
    <row r="55" spans="1:10" x14ac:dyDescent="0.2">
      <c r="A55" s="204" t="s">
        <v>95</v>
      </c>
      <c r="B55" s="335" t="str">
        <f>IF(C55="","",$B$48&amp;"."&amp;COUNT($F$49:F55))</f>
        <v>2.1.5</v>
      </c>
      <c r="C55" s="189" t="s">
        <v>255</v>
      </c>
      <c r="D55" s="193" t="s">
        <v>35</v>
      </c>
      <c r="E55" s="193">
        <f>SUMIFS('2. DADOS DE ENTRADA'!D:D,'2. DADOS DE ENTRADA'!A:A,'10.TRANS. DEST. FINAL VOL. '!A55,'2. DADOS DE ENTRADA'!B:B,'10.TRANS. DEST. FINAL VOL. '!C48)</f>
        <v>0</v>
      </c>
      <c r="F55" s="337">
        <f>(G53/E50)*2</f>
        <v>36.530228333333334</v>
      </c>
      <c r="G55" s="337">
        <f t="shared" si="0"/>
        <v>0</v>
      </c>
      <c r="H55" s="350"/>
      <c r="I55" s="189"/>
    </row>
    <row r="56" spans="1:10" ht="15" x14ac:dyDescent="0.25">
      <c r="A56" s="379"/>
      <c r="B56" s="523" t="str">
        <f>IF(C56="","",$B$48&amp;"."&amp;COUNT($F$49:F56))</f>
        <v/>
      </c>
      <c r="C56" s="524"/>
      <c r="D56" s="524"/>
      <c r="E56" s="524"/>
      <c r="F56" s="525" t="s">
        <v>352</v>
      </c>
      <c r="G56" s="526">
        <f>G53+G54+G55</f>
        <v>2191.8137000000002</v>
      </c>
      <c r="H56" s="527"/>
      <c r="I56" s="189"/>
    </row>
    <row r="57" spans="1:10" x14ac:dyDescent="0.2">
      <c r="A57" s="192" t="s">
        <v>273</v>
      </c>
      <c r="B57" s="335" t="str">
        <f>IF(C57="","",$B$48&amp;"."&amp;COUNT($F$49:F57))</f>
        <v>2.1.6</v>
      </c>
      <c r="C57" s="189" t="s">
        <v>23</v>
      </c>
      <c r="D57" s="193" t="s">
        <v>1</v>
      </c>
      <c r="E57" s="358">
        <f>SUMIFS('2. DADOS DE ENTRADA'!C:C,'2. DADOS DE ENTRADA'!A:A,'10.TRANS. DEST. FINAL VOL. '!A57,'2. DADOS DE ENTRADA'!B:B,'10.TRANS. DEST. FINAL VOL. '!$C$48)</f>
        <v>0.71101040000000004</v>
      </c>
      <c r="F57" s="340">
        <f>G56</f>
        <v>2191.8137000000002</v>
      </c>
      <c r="G57" s="340">
        <f>(E57)*F57</f>
        <v>1558.4023355624802</v>
      </c>
      <c r="H57" s="359"/>
      <c r="I57" s="403"/>
    </row>
    <row r="58" spans="1:10" ht="15" x14ac:dyDescent="0.25">
      <c r="A58" s="379"/>
      <c r="B58" s="523" t="str">
        <f>IF(C58="","",$B$48&amp;"."&amp;COUNT($F$49:F58))</f>
        <v/>
      </c>
      <c r="C58" s="524"/>
      <c r="D58" s="524"/>
      <c r="E58" s="524"/>
      <c r="F58" s="525" t="s">
        <v>352</v>
      </c>
      <c r="G58" s="526">
        <f>G57+G56</f>
        <v>3750.2160355624801</v>
      </c>
      <c r="H58" s="527"/>
      <c r="I58" s="357"/>
    </row>
    <row r="59" spans="1:10" s="192" customFormat="1" ht="28.5" x14ac:dyDescent="0.2">
      <c r="A59" s="379" t="s">
        <v>92</v>
      </c>
      <c r="B59" s="335" t="str">
        <f>IF(C59="","",$B$48&amp;"."&amp;COUNT($F$49:F59))</f>
        <v>2.1.7</v>
      </c>
      <c r="C59" s="189" t="s">
        <v>396</v>
      </c>
      <c r="D59" s="193" t="s">
        <v>25</v>
      </c>
      <c r="E59" s="193">
        <f>E49</f>
        <v>0</v>
      </c>
      <c r="F59" s="536">
        <f>G58</f>
        <v>3750.2160355624801</v>
      </c>
      <c r="G59" s="337">
        <f>F59*E59</f>
        <v>0</v>
      </c>
      <c r="H59" s="360"/>
      <c r="I59" s="357"/>
    </row>
    <row r="60" spans="1:10" x14ac:dyDescent="0.2">
      <c r="A60" s="192" t="s">
        <v>104</v>
      </c>
      <c r="B60" s="335" t="str">
        <f>IF(C60="","",$B$48&amp;"."&amp;COUNT($F$49:F60))</f>
        <v>2.1.8</v>
      </c>
      <c r="C60" s="192" t="s">
        <v>29</v>
      </c>
      <c r="D60" s="190" t="s">
        <v>4</v>
      </c>
      <c r="E60" s="343">
        <f>SUMIFS('2. DADOS DE ENTRADA'!C:C,'2. DADOS DE ENTRADA'!A:A,'10.TRANS. DEST. FINAL VOL. '!A60,'2. DADOS DE ENTRADA'!B:B,'10.TRANS. DEST. FINAL VOL. '!$C$48)</f>
        <v>26</v>
      </c>
      <c r="F60" s="337">
        <f>'3. PREÇOS UNITÁRIOS'!D27/'10.TRANS. DEST. FINAL VOL. '!E60</f>
        <v>12.594230769230769</v>
      </c>
      <c r="G60" s="337">
        <f>E60*F60</f>
        <v>327.45</v>
      </c>
      <c r="H60" s="334"/>
      <c r="I60" s="357"/>
    </row>
    <row r="61" spans="1:10" x14ac:dyDescent="0.2">
      <c r="B61" s="335" t="str">
        <f>IF(C61="","",$B$48&amp;"."&amp;COUNT($F$49:F61))</f>
        <v>2.1.9</v>
      </c>
      <c r="C61" s="192" t="s">
        <v>395</v>
      </c>
      <c r="D61" s="190" t="s">
        <v>25</v>
      </c>
      <c r="E61" s="343">
        <f>E49</f>
        <v>0</v>
      </c>
      <c r="F61" s="337">
        <f>G60</f>
        <v>327.45</v>
      </c>
      <c r="G61" s="337">
        <f>E61*F61</f>
        <v>0</v>
      </c>
      <c r="H61" s="334"/>
      <c r="I61" s="357"/>
    </row>
    <row r="62" spans="1:10" x14ac:dyDescent="0.2">
      <c r="B62" s="335" t="str">
        <f>IF(C62="","",$B$48&amp;"."&amp;COUNT($F$49:F62))</f>
        <v>2.1.10</v>
      </c>
      <c r="C62" s="192" t="s">
        <v>638</v>
      </c>
      <c r="D62" s="190" t="s">
        <v>25</v>
      </c>
      <c r="E62" s="343">
        <f>E61</f>
        <v>0</v>
      </c>
      <c r="F62" s="337">
        <f>'3. PREÇOS UNITÁRIOS'!D29</f>
        <v>40</v>
      </c>
      <c r="G62" s="337">
        <f>F62*E62</f>
        <v>0</v>
      </c>
      <c r="H62" s="334"/>
      <c r="I62" s="357"/>
    </row>
    <row r="63" spans="1:10" ht="15" x14ac:dyDescent="0.25">
      <c r="A63" s="379"/>
      <c r="B63" s="528" t="str">
        <f>IF(C63="","",$B$48&amp;"."&amp;COUNT($F$50:F64))</f>
        <v/>
      </c>
      <c r="C63" s="537"/>
      <c r="D63" s="537"/>
      <c r="E63" s="537"/>
      <c r="F63" s="530" t="s">
        <v>286</v>
      </c>
      <c r="G63" s="531">
        <f>G59+G61+G62</f>
        <v>0</v>
      </c>
      <c r="H63" s="538"/>
      <c r="I63" s="357"/>
    </row>
    <row r="64" spans="1:10" x14ac:dyDescent="0.2">
      <c r="B64" s="335"/>
      <c r="C64" s="192"/>
      <c r="D64" s="190"/>
      <c r="E64" s="190"/>
      <c r="F64" s="357"/>
      <c r="G64" s="357"/>
      <c r="H64" s="336"/>
      <c r="I64" s="357"/>
    </row>
    <row r="65" spans="1:9" ht="15" x14ac:dyDescent="0.25">
      <c r="B65" s="497" t="s">
        <v>93</v>
      </c>
      <c r="C65" s="498" t="s">
        <v>261</v>
      </c>
      <c r="D65" s="499"/>
      <c r="E65" s="499"/>
      <c r="F65" s="499"/>
      <c r="G65" s="499"/>
      <c r="H65" s="500"/>
      <c r="I65" s="357"/>
    </row>
    <row r="66" spans="1:9" x14ac:dyDescent="0.2">
      <c r="A66" s="192" t="s">
        <v>92</v>
      </c>
      <c r="B66" s="335" t="str">
        <f>IF(C66="","",$B$65&amp;"."&amp;COUNT($F$66:F66))</f>
        <v>2.2.0</v>
      </c>
      <c r="C66" s="192" t="s">
        <v>261</v>
      </c>
      <c r="D66" s="190" t="s">
        <v>25</v>
      </c>
      <c r="E66" s="190">
        <f>SUMIFS('2. DADOS DE ENTRADA'!G:G,'2. DADOS DE ENTRADA'!A:A,'10.TRANS. DEST. FINAL VOL. '!A66,'2. DADOS DE ENTRADA'!B:B,'10.TRANS. DEST. FINAL VOL. '!C65)</f>
        <v>0.1</v>
      </c>
      <c r="F66" s="357"/>
      <c r="G66" s="357"/>
      <c r="H66" s="336"/>
      <c r="I66" s="357"/>
    </row>
    <row r="67" spans="1:9" x14ac:dyDescent="0.2">
      <c r="A67" s="192" t="s">
        <v>96</v>
      </c>
      <c r="B67" s="335" t="str">
        <f>IF(C67="","",$B$65&amp;"."&amp;COUNT($F$66:F67))</f>
        <v>2.2.1</v>
      </c>
      <c r="C67" s="192" t="s">
        <v>20</v>
      </c>
      <c r="D67" s="190" t="s">
        <v>21</v>
      </c>
      <c r="E67" s="190">
        <f>SUMIFS('2. DADOS DE ENTRADA'!C:C,'2. DADOS DE ENTRADA'!A:A,'10.TRANS. DEST. FINAL VOL. '!A67,'2. DADOS DE ENTRADA'!B:B,'10.TRANS. DEST. FINAL VOL. '!$C$65)</f>
        <v>120</v>
      </c>
      <c r="F67" s="337">
        <f>'3. PREÇOS UNITÁRIOS'!D25/'10.TRANS. DEST. FINAL VOL. '!E67</f>
        <v>13.5584475</v>
      </c>
      <c r="G67" s="337">
        <f t="shared" ref="G67:G72" si="1">E67*F67</f>
        <v>1627.0137</v>
      </c>
      <c r="H67" s="336"/>
      <c r="I67" s="357"/>
    </row>
    <row r="68" spans="1:9" x14ac:dyDescent="0.2">
      <c r="A68" s="192" t="s">
        <v>275</v>
      </c>
      <c r="B68" s="335" t="str">
        <f>IF(C68="","",$B$65&amp;"."&amp;COUNT($F$66:F68))</f>
        <v>2.2.2</v>
      </c>
      <c r="C68" s="192" t="s">
        <v>33</v>
      </c>
      <c r="D68" s="190" t="s">
        <v>1</v>
      </c>
      <c r="E68" s="205">
        <f>SUMIFS('2. DADOS DE ENTRADA'!C:C,'2. DADOS DE ENTRADA'!A:A,'10.TRANS. DEST. FINAL VOL. '!A68,'2. DADOS DE ENTRADA'!B:B,'10.TRANS. DEST. FINAL VOL. '!$C$65)</f>
        <v>0</v>
      </c>
      <c r="F68" s="337">
        <f>G67</f>
        <v>1627.0137</v>
      </c>
      <c r="G68" s="337">
        <f t="shared" si="1"/>
        <v>0</v>
      </c>
      <c r="H68" s="336"/>
      <c r="I68" s="357"/>
    </row>
    <row r="69" spans="1:9" x14ac:dyDescent="0.2">
      <c r="A69" s="192" t="s">
        <v>88</v>
      </c>
      <c r="B69" s="335" t="str">
        <f>IF(C69="","",$B$65&amp;"."&amp;COUNT($F$66:F69))</f>
        <v>2.2.3</v>
      </c>
      <c r="C69" s="192" t="s">
        <v>22</v>
      </c>
      <c r="D69" s="190" t="s">
        <v>1</v>
      </c>
      <c r="E69" s="205">
        <f>SUMIFS('2. DADOS DE ENTRADA'!C:C,'2. DADOS DE ENTRADA'!A:A,'10.TRANS. DEST. FINAL VOL. '!A69,'2. DADOS DE ENTRADA'!B:B,'10.TRANS. DEST. FINAL VOL. '!$C$65)</f>
        <v>0.4</v>
      </c>
      <c r="F69" s="337">
        <f>'3. PREÇOS UNITÁRIOS'!D21</f>
        <v>1412</v>
      </c>
      <c r="G69" s="337">
        <f t="shared" si="1"/>
        <v>564.80000000000007</v>
      </c>
      <c r="H69" s="336"/>
      <c r="I69" s="357"/>
    </row>
    <row r="70" spans="1:9" ht="15" x14ac:dyDescent="0.25">
      <c r="B70" s="335"/>
      <c r="C70" s="192"/>
      <c r="D70" s="190"/>
      <c r="E70" s="205"/>
      <c r="F70" s="337"/>
      <c r="G70" s="339">
        <f>SUM(G67:G69)</f>
        <v>2191.8137000000002</v>
      </c>
      <c r="H70" s="336"/>
      <c r="I70" s="357"/>
    </row>
    <row r="71" spans="1:9" x14ac:dyDescent="0.2">
      <c r="A71" s="192" t="s">
        <v>109</v>
      </c>
      <c r="B71" s="335" t="str">
        <f>IF(C71="","",$B$65&amp;"."&amp;COUNT($F$66:F71))</f>
        <v>2.2.4</v>
      </c>
      <c r="C71" s="189" t="s">
        <v>254</v>
      </c>
      <c r="D71" s="193" t="s">
        <v>35</v>
      </c>
      <c r="E71" s="193">
        <f>SUMIFS('2. DADOS DE ENTRADA'!D:D,'2. DADOS DE ENTRADA'!A:A,'10.TRANS. DEST. FINAL VOL. '!A71,'2. DADOS DE ENTRADA'!B:B,'10.TRANS. DEST. FINAL VOL. '!C65)*E66</f>
        <v>0</v>
      </c>
      <c r="F71" s="337">
        <f>(G70/E67)*1.5</f>
        <v>27.397671250000002</v>
      </c>
      <c r="G71" s="337">
        <f t="shared" si="1"/>
        <v>0</v>
      </c>
      <c r="H71" s="350"/>
      <c r="I71" s="403"/>
    </row>
    <row r="72" spans="1:9" x14ac:dyDescent="0.2">
      <c r="A72" s="204" t="s">
        <v>95</v>
      </c>
      <c r="B72" s="335" t="str">
        <f>IF(C72="","",$B$65&amp;"."&amp;COUNT($F$66:F72))</f>
        <v>2.2.5</v>
      </c>
      <c r="C72" s="189" t="s">
        <v>255</v>
      </c>
      <c r="D72" s="193" t="s">
        <v>35</v>
      </c>
      <c r="E72" s="193">
        <f>SUMIFS('2. DADOS DE ENTRADA'!D:D,'2. DADOS DE ENTRADA'!A:A,'10.TRANS. DEST. FINAL VOL. '!A72,'2. DADOS DE ENTRADA'!B:B,'10.TRANS. DEST. FINAL VOL. '!C65)*E66</f>
        <v>0</v>
      </c>
      <c r="F72" s="337">
        <f>(G70/E67)*2</f>
        <v>36.530228333333334</v>
      </c>
      <c r="G72" s="337">
        <f t="shared" si="1"/>
        <v>0</v>
      </c>
      <c r="H72" s="350"/>
      <c r="I72" s="403"/>
    </row>
    <row r="73" spans="1:9" ht="15" x14ac:dyDescent="0.25">
      <c r="A73" s="379"/>
      <c r="B73" s="523" t="str">
        <f>IF(C73="","",$B$65&amp;"."&amp;COUNT($F$66:F73))</f>
        <v/>
      </c>
      <c r="C73" s="524"/>
      <c r="D73" s="524"/>
      <c r="E73" s="524"/>
      <c r="F73" s="525" t="s">
        <v>352</v>
      </c>
      <c r="G73" s="526">
        <f>G70+G71+G72</f>
        <v>2191.8137000000002</v>
      </c>
      <c r="H73" s="527"/>
      <c r="I73" s="403"/>
    </row>
    <row r="74" spans="1:9" x14ac:dyDescent="0.2">
      <c r="A74" s="192" t="s">
        <v>273</v>
      </c>
      <c r="B74" s="335" t="str">
        <f>IF(C74="","",$B$65&amp;"."&amp;COUNT($F$66:F74))</f>
        <v>2.2.6</v>
      </c>
      <c r="C74" s="189" t="s">
        <v>23</v>
      </c>
      <c r="D74" s="193" t="s">
        <v>1</v>
      </c>
      <c r="E74" s="358">
        <f>SUMIFS('2. DADOS DE ENTRADA'!C:C,'2. DADOS DE ENTRADA'!A:A,'10.TRANS. DEST. FINAL VOL. '!A74,'2. DADOS DE ENTRADA'!B:B,'10.TRANS. DEST. FINAL VOL. '!$C$65)</f>
        <v>0.71101040000000004</v>
      </c>
      <c r="F74" s="337">
        <f>G73</f>
        <v>2191.8137000000002</v>
      </c>
      <c r="G74" s="337">
        <f>(E74)*F74</f>
        <v>1558.4023355624802</v>
      </c>
      <c r="H74" s="359"/>
      <c r="I74" s="403"/>
    </row>
    <row r="75" spans="1:9" ht="15" x14ac:dyDescent="0.25">
      <c r="A75" s="379"/>
      <c r="B75" s="523" t="str">
        <f>IF(C75="","",$B$65&amp;"."&amp;COUNT($F$66:F75))</f>
        <v/>
      </c>
      <c r="C75" s="524"/>
      <c r="D75" s="524"/>
      <c r="E75" s="524"/>
      <c r="F75" s="525" t="s">
        <v>352</v>
      </c>
      <c r="G75" s="526">
        <f>G73+G74</f>
        <v>3750.2160355624801</v>
      </c>
      <c r="H75" s="527"/>
      <c r="I75" s="357"/>
    </row>
    <row r="76" spans="1:9" s="192" customFormat="1" x14ac:dyDescent="0.2">
      <c r="A76" s="379"/>
      <c r="B76" s="335" t="str">
        <f>IF(C76="","",$B$65&amp;"."&amp;COUNT($F$66:F76))</f>
        <v>2.2.7</v>
      </c>
      <c r="C76" s="189" t="s">
        <v>397</v>
      </c>
      <c r="D76" s="193" t="s">
        <v>25</v>
      </c>
      <c r="E76" s="539">
        <f>E66</f>
        <v>0.1</v>
      </c>
      <c r="F76" s="337">
        <f>G75</f>
        <v>3750.2160355624801</v>
      </c>
      <c r="G76" s="337">
        <f>F76*E76</f>
        <v>375.02160355624801</v>
      </c>
      <c r="H76" s="360"/>
      <c r="I76" s="357"/>
    </row>
    <row r="77" spans="1:9" s="192" customFormat="1" x14ac:dyDescent="0.2">
      <c r="A77" s="192" t="s">
        <v>104</v>
      </c>
      <c r="B77" s="335" t="str">
        <f>IF(C77="","",$B$65&amp;"."&amp;COUNT($F$66:F77))</f>
        <v>2.2.8</v>
      </c>
      <c r="C77" s="192" t="s">
        <v>29</v>
      </c>
      <c r="D77" s="190" t="s">
        <v>4</v>
      </c>
      <c r="E77" s="343">
        <f>SUMIFS('2. DADOS DE ENTRADA'!C:C,'2. DADOS DE ENTRADA'!A:A,'10.TRANS. DEST. FINAL VOL. '!A77,'2. DADOS DE ENTRADA'!B:B,'10.TRANS. DEST. FINAL VOL. '!$C$65)</f>
        <v>26</v>
      </c>
      <c r="F77" s="337">
        <f>'3. PREÇOS UNITÁRIOS'!D27/'10.TRANS. DEST. FINAL VOL. '!E77</f>
        <v>12.594230769230769</v>
      </c>
      <c r="G77" s="337">
        <f>E77*F77</f>
        <v>327.45</v>
      </c>
      <c r="H77" s="334"/>
      <c r="I77" s="357"/>
    </row>
    <row r="78" spans="1:9" x14ac:dyDescent="0.2">
      <c r="A78" s="189"/>
      <c r="B78" s="335" t="str">
        <f>IF(C78="","",$B$65&amp;"."&amp;COUNT($F$66:F78))</f>
        <v>2.2.9</v>
      </c>
      <c r="C78" s="189" t="s">
        <v>397</v>
      </c>
      <c r="D78" s="193" t="s">
        <v>25</v>
      </c>
      <c r="E78" s="193">
        <f>E66</f>
        <v>0.1</v>
      </c>
      <c r="F78" s="337">
        <f>G77</f>
        <v>327.45</v>
      </c>
      <c r="G78" s="337">
        <f>E78*F78</f>
        <v>32.744999999999997</v>
      </c>
      <c r="H78" s="334"/>
      <c r="I78" s="357"/>
    </row>
    <row r="79" spans="1:9" x14ac:dyDescent="0.2">
      <c r="A79" s="189"/>
      <c r="B79" s="335" t="str">
        <f>IF(C79="","",$B$65&amp;"."&amp;COUNT($F$66:F79))</f>
        <v>2.2.10</v>
      </c>
      <c r="C79" s="192" t="s">
        <v>638</v>
      </c>
      <c r="D79" s="190" t="s">
        <v>25</v>
      </c>
      <c r="E79" s="343">
        <f>E78</f>
        <v>0.1</v>
      </c>
      <c r="F79" s="337">
        <f>'3. PREÇOS UNITÁRIOS'!D29</f>
        <v>40</v>
      </c>
      <c r="G79" s="337">
        <f>F79*E79</f>
        <v>4</v>
      </c>
      <c r="H79" s="334"/>
      <c r="I79" s="357"/>
    </row>
    <row r="80" spans="1:9" ht="15" x14ac:dyDescent="0.25">
      <c r="B80" s="540"/>
      <c r="C80" s="529"/>
      <c r="D80" s="529"/>
      <c r="E80" s="529"/>
      <c r="F80" s="530" t="s">
        <v>287</v>
      </c>
      <c r="G80" s="531">
        <f>G76+G78+G79</f>
        <v>411.76660355624801</v>
      </c>
      <c r="H80" s="532"/>
      <c r="I80" s="357"/>
    </row>
    <row r="81" spans="2:9" ht="15" x14ac:dyDescent="0.2">
      <c r="B81" s="501"/>
      <c r="C81" s="502"/>
      <c r="D81" s="502"/>
      <c r="E81" s="502" t="s">
        <v>37</v>
      </c>
      <c r="F81" s="502"/>
      <c r="G81" s="441">
        <f>G80+G63</f>
        <v>411.76660355624801</v>
      </c>
      <c r="H81" s="503"/>
      <c r="I81" s="357"/>
    </row>
    <row r="82" spans="2:9" x14ac:dyDescent="0.2">
      <c r="B82" s="335"/>
      <c r="C82" s="192"/>
      <c r="D82" s="190"/>
      <c r="E82" s="190"/>
      <c r="F82" s="357"/>
      <c r="G82" s="357"/>
      <c r="H82" s="336"/>
      <c r="I82" s="357"/>
    </row>
    <row r="83" spans="2:9" ht="15" x14ac:dyDescent="0.2">
      <c r="B83" s="420" t="s">
        <v>17</v>
      </c>
      <c r="C83" s="421" t="s">
        <v>39</v>
      </c>
      <c r="D83" s="422"/>
      <c r="E83" s="422"/>
      <c r="F83" s="422"/>
      <c r="G83" s="422"/>
      <c r="H83" s="423"/>
    </row>
    <row r="84" spans="2:9" ht="15" x14ac:dyDescent="0.2">
      <c r="B84" s="284"/>
      <c r="C84" s="285"/>
      <c r="D84" s="286"/>
      <c r="E84" s="286"/>
      <c r="F84" s="286"/>
      <c r="G84" s="286"/>
      <c r="H84" s="287"/>
    </row>
    <row r="85" spans="2:9" ht="15" x14ac:dyDescent="0.2">
      <c r="B85" s="420" t="s">
        <v>7</v>
      </c>
      <c r="C85" s="422" t="s">
        <v>8</v>
      </c>
      <c r="D85" s="422" t="s">
        <v>9</v>
      </c>
      <c r="E85" s="422" t="s">
        <v>10</v>
      </c>
      <c r="F85" s="422" t="s">
        <v>11</v>
      </c>
      <c r="G85" s="422" t="s">
        <v>12</v>
      </c>
      <c r="H85" s="423"/>
      <c r="I85" s="190"/>
    </row>
    <row r="86" spans="2:9" ht="30" x14ac:dyDescent="0.25">
      <c r="B86" s="773" t="s">
        <v>109</v>
      </c>
      <c r="C86" s="483" t="s">
        <v>40</v>
      </c>
      <c r="D86" s="484"/>
      <c r="E86" s="484"/>
      <c r="F86" s="484"/>
      <c r="G86" s="484"/>
      <c r="H86" s="485"/>
    </row>
    <row r="87" spans="2:9" x14ac:dyDescent="0.2">
      <c r="B87" s="335"/>
      <c r="C87" s="192"/>
      <c r="D87" s="192"/>
      <c r="E87" s="192"/>
      <c r="F87" s="192"/>
      <c r="H87" s="334"/>
    </row>
    <row r="88" spans="2:9" ht="15" x14ac:dyDescent="0.25">
      <c r="B88" s="497" t="s">
        <v>108</v>
      </c>
      <c r="C88" s="498" t="s">
        <v>97</v>
      </c>
      <c r="D88" s="499"/>
      <c r="E88" s="499"/>
      <c r="F88" s="499"/>
      <c r="G88" s="499"/>
      <c r="H88" s="500"/>
    </row>
    <row r="89" spans="2:9" x14ac:dyDescent="0.2">
      <c r="B89" s="335" t="s">
        <v>289</v>
      </c>
      <c r="C89" s="363" t="s">
        <v>41</v>
      </c>
      <c r="D89" s="364" t="s">
        <v>4</v>
      </c>
      <c r="E89" s="366">
        <f t="array" ref="E89:E95">TRANSPOSE('2. DADOS DE ENTRADA'!C179:I179)</f>
        <v>0.10767499999999999</v>
      </c>
      <c r="F89" s="367">
        <f>'3. PREÇOS UNITÁRIOS'!D10</f>
        <v>81.787999999999997</v>
      </c>
      <c r="G89" s="367">
        <f>F89*E89</f>
        <v>8.8065228999999992</v>
      </c>
      <c r="H89" s="365"/>
      <c r="I89" s="189"/>
    </row>
    <row r="90" spans="2:9" x14ac:dyDescent="0.2">
      <c r="B90" s="335" t="s">
        <v>372</v>
      </c>
      <c r="C90" s="192" t="s">
        <v>42</v>
      </c>
      <c r="D90" s="190" t="s">
        <v>4</v>
      </c>
      <c r="E90" s="217">
        <v>0.10767499999999999</v>
      </c>
      <c r="F90" s="337">
        <f>'3. PREÇOS UNITÁRIOS'!D11</f>
        <v>35.25</v>
      </c>
      <c r="G90" s="337">
        <f t="shared" ref="G90:G95" si="2">F90*E90</f>
        <v>3.7955437499999998</v>
      </c>
      <c r="H90" s="336"/>
      <c r="I90" s="189"/>
    </row>
    <row r="91" spans="2:9" x14ac:dyDescent="0.2">
      <c r="B91" s="335" t="s">
        <v>373</v>
      </c>
      <c r="C91" s="192" t="s">
        <v>43</v>
      </c>
      <c r="D91" s="190" t="s">
        <v>4</v>
      </c>
      <c r="E91" s="217">
        <v>0.10767499999999999</v>
      </c>
      <c r="F91" s="337">
        <f>'3. PREÇOS UNITÁRIOS'!D12</f>
        <v>70.696666666666673</v>
      </c>
      <c r="G91" s="337">
        <f t="shared" si="2"/>
        <v>7.6122635833333332</v>
      </c>
      <c r="H91" s="336"/>
      <c r="I91" s="189"/>
    </row>
    <row r="92" spans="2:9" x14ac:dyDescent="0.2">
      <c r="B92" s="335" t="s">
        <v>374</v>
      </c>
      <c r="C92" s="192" t="s">
        <v>46</v>
      </c>
      <c r="D92" s="190" t="s">
        <v>4</v>
      </c>
      <c r="E92" s="217">
        <v>5.3837499999999996E-2</v>
      </c>
      <c r="F92" s="337">
        <f>'3. PREÇOS UNITÁRIOS'!D13</f>
        <v>13.563333333333333</v>
      </c>
      <c r="G92" s="337">
        <f t="shared" si="2"/>
        <v>0.73021595833333319</v>
      </c>
      <c r="H92" s="336"/>
      <c r="I92" s="189"/>
    </row>
    <row r="93" spans="2:9" x14ac:dyDescent="0.2">
      <c r="B93" s="335" t="s">
        <v>375</v>
      </c>
      <c r="C93" s="189" t="s">
        <v>84</v>
      </c>
      <c r="D93" s="190" t="s">
        <v>4</v>
      </c>
      <c r="E93" s="217">
        <v>0</v>
      </c>
      <c r="F93" s="337">
        <f>'3. PREÇOS UNITÁRIOS'!D15</f>
        <v>98.023333333333326</v>
      </c>
      <c r="G93" s="337">
        <f t="shared" si="2"/>
        <v>0</v>
      </c>
      <c r="H93" s="336"/>
      <c r="I93" s="189"/>
    </row>
    <row r="94" spans="2:9" x14ac:dyDescent="0.2">
      <c r="B94" s="335" t="s">
        <v>376</v>
      </c>
      <c r="C94" s="192" t="s">
        <v>116</v>
      </c>
      <c r="D94" s="190" t="s">
        <v>4</v>
      </c>
      <c r="E94" s="217">
        <v>7.1065500000000004E-2</v>
      </c>
      <c r="F94" s="337">
        <f>'3. PREÇOS UNITÁRIOS'!D17</f>
        <v>6.7633333333333328</v>
      </c>
      <c r="G94" s="337">
        <f t="shared" si="2"/>
        <v>0.48063966499999999</v>
      </c>
      <c r="H94" s="336"/>
      <c r="I94" s="189"/>
    </row>
    <row r="95" spans="2:9" x14ac:dyDescent="0.2">
      <c r="B95" s="335" t="s">
        <v>377</v>
      </c>
      <c r="C95" s="192" t="s">
        <v>117</v>
      </c>
      <c r="D95" s="190" t="s">
        <v>4</v>
      </c>
      <c r="E95" s="217">
        <v>0.21534999999999999</v>
      </c>
      <c r="F95" s="337">
        <f>'3. PREÇOS UNITÁRIOS'!D18</f>
        <v>26.297499999999999</v>
      </c>
      <c r="G95" s="337">
        <f t="shared" si="2"/>
        <v>5.6631666249999997</v>
      </c>
      <c r="H95" s="336"/>
      <c r="I95" s="189"/>
    </row>
    <row r="96" spans="2:9" ht="15" x14ac:dyDescent="0.25">
      <c r="B96" s="541"/>
      <c r="C96" s="529"/>
      <c r="D96" s="529"/>
      <c r="E96" s="529"/>
      <c r="F96" s="530" t="s">
        <v>36</v>
      </c>
      <c r="G96" s="531">
        <f>SUM(G89:G95)</f>
        <v>27.088352481666664</v>
      </c>
      <c r="H96" s="532"/>
      <c r="I96" s="357"/>
    </row>
    <row r="97" spans="2:9" x14ac:dyDescent="0.2">
      <c r="B97" s="335"/>
      <c r="C97" s="192"/>
      <c r="D97" s="192"/>
      <c r="E97" s="192"/>
      <c r="F97" s="192"/>
      <c r="H97" s="334"/>
    </row>
    <row r="98" spans="2:9" ht="15" x14ac:dyDescent="0.25">
      <c r="B98" s="497" t="s">
        <v>75</v>
      </c>
      <c r="C98" s="498" t="s">
        <v>98</v>
      </c>
      <c r="D98" s="499"/>
      <c r="E98" s="499"/>
      <c r="F98" s="499"/>
      <c r="G98" s="499"/>
      <c r="H98" s="500"/>
    </row>
    <row r="99" spans="2:9" x14ac:dyDescent="0.2">
      <c r="B99" s="335" t="s">
        <v>290</v>
      </c>
      <c r="C99" s="363" t="s">
        <v>41</v>
      </c>
      <c r="D99" s="364" t="s">
        <v>4</v>
      </c>
      <c r="E99" s="366">
        <v>0</v>
      </c>
      <c r="F99" s="369">
        <f>'3. PREÇOS UNITÁRIOS'!D10</f>
        <v>81.787999999999997</v>
      </c>
      <c r="G99" s="367">
        <f>E99*F99</f>
        <v>0</v>
      </c>
      <c r="H99" s="365"/>
      <c r="I99" s="189"/>
    </row>
    <row r="100" spans="2:9" x14ac:dyDescent="0.2">
      <c r="B100" s="335" t="s">
        <v>378</v>
      </c>
      <c r="C100" s="192" t="s">
        <v>42</v>
      </c>
      <c r="D100" s="190" t="s">
        <v>4</v>
      </c>
      <c r="E100" s="217">
        <v>0</v>
      </c>
      <c r="F100" s="337">
        <f>'3. PREÇOS UNITÁRIOS'!D11</f>
        <v>35.25</v>
      </c>
      <c r="G100" s="337">
        <f t="shared" ref="G100:G106" si="3">E100*F100</f>
        <v>0</v>
      </c>
      <c r="H100" s="336"/>
      <c r="I100" s="189"/>
    </row>
    <row r="101" spans="2:9" x14ac:dyDescent="0.2">
      <c r="B101" s="335" t="s">
        <v>379</v>
      </c>
      <c r="C101" s="192" t="s">
        <v>43</v>
      </c>
      <c r="D101" s="190" t="s">
        <v>4</v>
      </c>
      <c r="E101" s="217">
        <v>0</v>
      </c>
      <c r="F101" s="370">
        <f>'3. PREÇOS UNITÁRIOS'!D12</f>
        <v>70.696666666666673</v>
      </c>
      <c r="G101" s="337">
        <f t="shared" si="3"/>
        <v>0</v>
      </c>
      <c r="H101" s="336"/>
      <c r="I101" s="189"/>
    </row>
    <row r="102" spans="2:9" x14ac:dyDescent="0.2">
      <c r="B102" s="335" t="s">
        <v>380</v>
      </c>
      <c r="C102" s="192" t="s">
        <v>46</v>
      </c>
      <c r="D102" s="190" t="s">
        <v>4</v>
      </c>
      <c r="E102" s="217">
        <v>0</v>
      </c>
      <c r="F102" s="370">
        <f>'3. PREÇOS UNITÁRIOS'!D13</f>
        <v>13.563333333333333</v>
      </c>
      <c r="G102" s="337">
        <f t="shared" si="3"/>
        <v>0</v>
      </c>
      <c r="H102" s="336"/>
      <c r="I102" s="189"/>
    </row>
    <row r="103" spans="2:9" x14ac:dyDescent="0.2">
      <c r="B103" s="335" t="s">
        <v>381</v>
      </c>
      <c r="C103" s="192" t="s">
        <v>44</v>
      </c>
      <c r="D103" s="190" t="s">
        <v>4</v>
      </c>
      <c r="E103" s="217">
        <v>0</v>
      </c>
      <c r="F103" s="370">
        <f>'3. PREÇOS UNITÁRIOS'!D14</f>
        <v>23.113333333333333</v>
      </c>
      <c r="G103" s="337">
        <f t="shared" si="3"/>
        <v>0</v>
      </c>
      <c r="H103" s="336"/>
      <c r="I103" s="189"/>
    </row>
    <row r="104" spans="2:9" x14ac:dyDescent="0.2">
      <c r="B104" s="335" t="s">
        <v>382</v>
      </c>
      <c r="C104" s="192" t="s">
        <v>84</v>
      </c>
      <c r="D104" s="190" t="s">
        <v>4</v>
      </c>
      <c r="E104" s="217">
        <v>0</v>
      </c>
      <c r="F104" s="370">
        <f>'3. PREÇOS UNITÁRIOS'!D15</f>
        <v>98.023333333333326</v>
      </c>
      <c r="G104" s="337">
        <f t="shared" si="3"/>
        <v>0</v>
      </c>
      <c r="H104" s="336"/>
      <c r="I104" s="189"/>
    </row>
    <row r="105" spans="2:9" x14ac:dyDescent="0.2">
      <c r="B105" s="335" t="s">
        <v>383</v>
      </c>
      <c r="C105" s="192" t="s">
        <v>116</v>
      </c>
      <c r="D105" s="190" t="s">
        <v>4</v>
      </c>
      <c r="E105" s="217">
        <v>0</v>
      </c>
      <c r="F105" s="370">
        <f>'3. PREÇOS UNITÁRIOS'!D17</f>
        <v>6.7633333333333328</v>
      </c>
      <c r="G105" s="337">
        <f t="shared" si="3"/>
        <v>0</v>
      </c>
      <c r="H105" s="336"/>
      <c r="I105" s="189"/>
    </row>
    <row r="106" spans="2:9" x14ac:dyDescent="0.2">
      <c r="B106" s="335" t="s">
        <v>384</v>
      </c>
      <c r="C106" s="192" t="s">
        <v>117</v>
      </c>
      <c r="D106" s="190" t="s">
        <v>4</v>
      </c>
      <c r="E106" s="217">
        <v>0</v>
      </c>
      <c r="F106" s="370">
        <f>'3. PREÇOS UNITÁRIOS'!D18</f>
        <v>26.297499999999999</v>
      </c>
      <c r="G106" s="337">
        <f t="shared" si="3"/>
        <v>0</v>
      </c>
      <c r="H106" s="336"/>
      <c r="I106" s="189"/>
    </row>
    <row r="107" spans="2:9" ht="15" x14ac:dyDescent="0.25">
      <c r="B107" s="541"/>
      <c r="C107" s="529"/>
      <c r="D107" s="529"/>
      <c r="E107" s="537"/>
      <c r="F107" s="530" t="s">
        <v>36</v>
      </c>
      <c r="G107" s="531">
        <f>SUM(G99:G106)</f>
        <v>0</v>
      </c>
      <c r="H107" s="532"/>
      <c r="I107" s="357"/>
    </row>
    <row r="108" spans="2:9" x14ac:dyDescent="0.2">
      <c r="B108" s="335"/>
      <c r="C108" s="192"/>
      <c r="D108" s="192"/>
      <c r="E108" s="217"/>
      <c r="F108" s="372"/>
      <c r="G108" s="337"/>
      <c r="H108" s="336"/>
      <c r="I108" s="357"/>
    </row>
    <row r="109" spans="2:9" ht="15" x14ac:dyDescent="0.25">
      <c r="B109" s="497" t="s">
        <v>107</v>
      </c>
      <c r="C109" s="498" t="s">
        <v>45</v>
      </c>
      <c r="D109" s="499"/>
      <c r="E109" s="499"/>
      <c r="F109" s="499"/>
      <c r="G109" s="499"/>
      <c r="H109" s="500"/>
      <c r="I109" s="357"/>
    </row>
    <row r="110" spans="2:9" x14ac:dyDescent="0.2">
      <c r="B110" s="335" t="s">
        <v>291</v>
      </c>
      <c r="C110" s="363" t="s">
        <v>41</v>
      </c>
      <c r="D110" s="364" t="s">
        <v>4</v>
      </c>
      <c r="E110" s="366">
        <v>0</v>
      </c>
      <c r="F110" s="369">
        <f>'3. PREÇOS UNITÁRIOS'!D10</f>
        <v>81.787999999999997</v>
      </c>
      <c r="G110" s="369">
        <f>E110*F110</f>
        <v>0</v>
      </c>
      <c r="H110" s="365"/>
      <c r="I110" s="189"/>
    </row>
    <row r="111" spans="2:9" x14ac:dyDescent="0.2">
      <c r="B111" s="335" t="s">
        <v>385</v>
      </c>
      <c r="C111" s="192" t="s">
        <v>42</v>
      </c>
      <c r="D111" s="190" t="s">
        <v>4</v>
      </c>
      <c r="E111" s="217">
        <v>0</v>
      </c>
      <c r="F111" s="370">
        <f>'3. PREÇOS UNITÁRIOS'!D11</f>
        <v>35.25</v>
      </c>
      <c r="G111" s="370">
        <f t="shared" ref="G111:G117" si="4">E111*F111</f>
        <v>0</v>
      </c>
      <c r="H111" s="336"/>
      <c r="I111" s="189"/>
    </row>
    <row r="112" spans="2:9" x14ac:dyDescent="0.2">
      <c r="B112" s="335" t="s">
        <v>386</v>
      </c>
      <c r="C112" s="192" t="s">
        <v>115</v>
      </c>
      <c r="D112" s="190" t="s">
        <v>4</v>
      </c>
      <c r="E112" s="217">
        <v>0</v>
      </c>
      <c r="F112" s="370">
        <f>'3. PREÇOS UNITÁRIOS'!D12</f>
        <v>70.696666666666673</v>
      </c>
      <c r="G112" s="370">
        <f t="shared" si="4"/>
        <v>0</v>
      </c>
      <c r="H112" s="336"/>
      <c r="I112" s="189"/>
    </row>
    <row r="113" spans="1:15" x14ac:dyDescent="0.2">
      <c r="B113" s="335" t="s">
        <v>387</v>
      </c>
      <c r="C113" s="192" t="s">
        <v>46</v>
      </c>
      <c r="D113" s="190" t="s">
        <v>4</v>
      </c>
      <c r="E113" s="217">
        <v>0</v>
      </c>
      <c r="F113" s="370">
        <f>'3. PREÇOS UNITÁRIOS'!D13</f>
        <v>13.563333333333333</v>
      </c>
      <c r="G113" s="370">
        <f t="shared" si="4"/>
        <v>0</v>
      </c>
      <c r="H113" s="336"/>
      <c r="I113" s="189"/>
    </row>
    <row r="114" spans="1:15" x14ac:dyDescent="0.2">
      <c r="B114" s="335" t="s">
        <v>388</v>
      </c>
      <c r="C114" s="192" t="s">
        <v>84</v>
      </c>
      <c r="D114" s="190" t="s">
        <v>4</v>
      </c>
      <c r="E114" s="217">
        <v>0</v>
      </c>
      <c r="F114" s="370">
        <f>'3. PREÇOS UNITÁRIOS'!D15</f>
        <v>98.023333333333326</v>
      </c>
      <c r="G114" s="370">
        <f t="shared" si="4"/>
        <v>0</v>
      </c>
      <c r="H114" s="336"/>
      <c r="I114" s="189"/>
    </row>
    <row r="115" spans="1:15" x14ac:dyDescent="0.2">
      <c r="B115" s="335" t="s">
        <v>389</v>
      </c>
      <c r="C115" s="192" t="s">
        <v>47</v>
      </c>
      <c r="D115" s="190" t="s">
        <v>4</v>
      </c>
      <c r="E115" s="217">
        <v>0</v>
      </c>
      <c r="F115" s="370">
        <f>'3. PREÇOS UNITÁRIOS'!D16</f>
        <v>14.2325</v>
      </c>
      <c r="G115" s="370">
        <f t="shared" si="4"/>
        <v>0</v>
      </c>
      <c r="H115" s="336"/>
      <c r="I115" s="189"/>
    </row>
    <row r="116" spans="1:15" x14ac:dyDescent="0.2">
      <c r="B116" s="335" t="s">
        <v>390</v>
      </c>
      <c r="C116" s="192" t="s">
        <v>116</v>
      </c>
      <c r="D116" s="190" t="s">
        <v>4</v>
      </c>
      <c r="E116" s="217">
        <v>0</v>
      </c>
      <c r="F116" s="370">
        <f>'3. PREÇOS UNITÁRIOS'!D17</f>
        <v>6.7633333333333328</v>
      </c>
      <c r="G116" s="370">
        <f t="shared" si="4"/>
        <v>0</v>
      </c>
      <c r="H116" s="336"/>
      <c r="I116" s="189"/>
    </row>
    <row r="117" spans="1:15" x14ac:dyDescent="0.2">
      <c r="B117" s="353" t="s">
        <v>391</v>
      </c>
      <c r="C117" s="354" t="s">
        <v>117</v>
      </c>
      <c r="D117" s="355" t="s">
        <v>4</v>
      </c>
      <c r="E117" s="368">
        <v>0</v>
      </c>
      <c r="F117" s="371">
        <f>'3. PREÇOS UNITÁRIOS'!D18</f>
        <v>26.297499999999999</v>
      </c>
      <c r="G117" s="371">
        <f t="shared" si="4"/>
        <v>0</v>
      </c>
      <c r="H117" s="356"/>
      <c r="I117" s="189"/>
    </row>
    <row r="118" spans="1:15" ht="15" x14ac:dyDescent="0.25">
      <c r="B118" s="570"/>
      <c r="C118" s="571"/>
      <c r="D118" s="571"/>
      <c r="E118" s="571"/>
      <c r="F118" s="525" t="s">
        <v>36</v>
      </c>
      <c r="G118" s="526">
        <f>SUM(G110:G117)</f>
        <v>0</v>
      </c>
      <c r="H118" s="572"/>
      <c r="I118" s="357"/>
    </row>
    <row r="119" spans="1:15" ht="15" x14ac:dyDescent="0.2">
      <c r="B119" s="448"/>
      <c r="C119" s="441"/>
      <c r="D119" s="441"/>
      <c r="E119" s="441" t="s">
        <v>292</v>
      </c>
      <c r="F119" s="441"/>
      <c r="G119" s="441">
        <f>G118+G107+G96</f>
        <v>27.088352481666664</v>
      </c>
      <c r="H119" s="504"/>
    </row>
    <row r="120" spans="1:15" s="192" customFormat="1" ht="15" x14ac:dyDescent="0.2">
      <c r="B120" s="302"/>
      <c r="C120" s="303"/>
      <c r="D120" s="303"/>
      <c r="E120" s="303"/>
      <c r="F120" s="303"/>
      <c r="G120" s="303"/>
      <c r="H120" s="304"/>
    </row>
    <row r="121" spans="1:15" s="192" customFormat="1" ht="15" x14ac:dyDescent="0.2">
      <c r="B121" s="505"/>
      <c r="C121" s="506"/>
      <c r="D121" s="506"/>
      <c r="E121" s="506" t="s">
        <v>620</v>
      </c>
      <c r="F121" s="506"/>
      <c r="G121" s="506">
        <f>G81+G43+G119</f>
        <v>461.77883053278373</v>
      </c>
      <c r="H121" s="507"/>
    </row>
    <row r="122" spans="1:15" x14ac:dyDescent="0.2">
      <c r="B122" s="335"/>
      <c r="C122" s="192"/>
      <c r="D122" s="192"/>
      <c r="E122" s="190"/>
      <c r="F122" s="190"/>
      <c r="H122" s="392"/>
      <c r="I122" s="391"/>
    </row>
    <row r="123" spans="1:15" s="192" customFormat="1" ht="15" x14ac:dyDescent="0.2">
      <c r="B123" s="478" t="s">
        <v>38</v>
      </c>
      <c r="C123" s="479" t="s">
        <v>6</v>
      </c>
      <c r="D123" s="480"/>
      <c r="E123" s="480"/>
      <c r="F123" s="480"/>
      <c r="G123" s="480"/>
      <c r="H123" s="481"/>
      <c r="J123" s="189"/>
      <c r="K123" s="189"/>
      <c r="L123" s="189"/>
      <c r="M123" s="189"/>
      <c r="N123" s="189"/>
      <c r="O123" s="189"/>
    </row>
    <row r="124" spans="1:15" s="192" customFormat="1" ht="15" x14ac:dyDescent="0.2">
      <c r="B124" s="284"/>
      <c r="C124" s="285"/>
      <c r="D124" s="286"/>
      <c r="E124" s="286"/>
      <c r="F124" s="286"/>
      <c r="G124" s="286"/>
      <c r="H124" s="287"/>
    </row>
    <row r="125" spans="1:15" s="192" customFormat="1" ht="15" x14ac:dyDescent="0.2">
      <c r="B125" s="420" t="s">
        <v>7</v>
      </c>
      <c r="C125" s="421" t="s">
        <v>8</v>
      </c>
      <c r="D125" s="422" t="s">
        <v>9</v>
      </c>
      <c r="E125" s="422" t="s">
        <v>10</v>
      </c>
      <c r="F125" s="422" t="s">
        <v>11</v>
      </c>
      <c r="G125" s="422" t="s">
        <v>12</v>
      </c>
      <c r="H125" s="423"/>
      <c r="J125" s="189"/>
      <c r="K125" s="189"/>
      <c r="L125" s="189"/>
      <c r="M125" s="189"/>
      <c r="N125" s="189"/>
      <c r="O125" s="189"/>
    </row>
    <row r="126" spans="1:15" s="192" customFormat="1" ht="15" x14ac:dyDescent="0.25">
      <c r="B126" s="497" t="s">
        <v>95</v>
      </c>
      <c r="C126" s="498" t="s">
        <v>13</v>
      </c>
      <c r="D126" s="499"/>
      <c r="E126" s="499"/>
      <c r="F126" s="499"/>
      <c r="G126" s="499"/>
      <c r="H126" s="500"/>
      <c r="J126" s="189"/>
      <c r="K126" s="189"/>
      <c r="L126" s="189"/>
      <c r="M126" s="189"/>
      <c r="N126" s="189"/>
      <c r="O126" s="189"/>
    </row>
    <row r="127" spans="1:15" s="192" customFormat="1" x14ac:dyDescent="0.2">
      <c r="A127" s="192" t="s">
        <v>275</v>
      </c>
      <c r="B127" s="375" t="str">
        <f>IF(C127="","",$B$126&amp;"."&amp;COUNT($F$127:F127))</f>
        <v>4.1.1</v>
      </c>
      <c r="C127" s="379" t="str">
        <f>'2. DADOS DE ENTRADA'!B232</f>
        <v xml:space="preserve">Caminhão para Roll on Roll off </v>
      </c>
      <c r="D127" s="190" t="s">
        <v>4</v>
      </c>
      <c r="E127" s="203">
        <f>SUMIFS('2. DADOS DE ENTRADA'!H:H,'2. DADOS DE ENTRADA'!A:A,'10.TRANS. DEST. FINAL VOL. '!A127,'2. DADOS DE ENTRADA'!B:B,'10.TRANS. DEST. FINAL VOL. '!C127)</f>
        <v>0.02</v>
      </c>
      <c r="F127" s="376">
        <f>'3. PREÇOS UNITÁRIOS'!D45</f>
        <v>288976</v>
      </c>
      <c r="G127" s="376">
        <f t="shared" ref="G127:G132" si="5">E127*F127</f>
        <v>5779.52</v>
      </c>
      <c r="H127" s="359"/>
      <c r="J127" s="189"/>
      <c r="K127" s="189"/>
      <c r="L127" s="189"/>
      <c r="M127" s="189"/>
      <c r="N127" s="189"/>
      <c r="O127" s="189"/>
    </row>
    <row r="128" spans="1:15" s="192" customFormat="1" x14ac:dyDescent="0.2">
      <c r="A128" s="192" t="s">
        <v>275</v>
      </c>
      <c r="B128" s="375" t="str">
        <f>IF(C128="","",$B$126&amp;"."&amp;COUNT($F$127:F128))</f>
        <v>4.1.2</v>
      </c>
      <c r="C128" s="379" t="str">
        <f>'2. DADOS DE ENTRADA'!B233</f>
        <v>Caminhão para Roll on Roll off reserva</v>
      </c>
      <c r="D128" s="190" t="s">
        <v>4</v>
      </c>
      <c r="E128" s="203">
        <f>SUMIFS('2. DADOS DE ENTRADA'!H:H,'2. DADOS DE ENTRADA'!A:A,'10.TRANS. DEST. FINAL VOL. '!A128,'2. DADOS DE ENTRADA'!B:B,'10.TRANS. DEST. FINAL VOL. '!C128)</f>
        <v>0</v>
      </c>
      <c r="F128" s="376">
        <f>'3. PREÇOS UNITÁRIOS'!D45</f>
        <v>288976</v>
      </c>
      <c r="G128" s="376">
        <f t="shared" si="5"/>
        <v>0</v>
      </c>
      <c r="H128" s="359"/>
      <c r="J128" s="189"/>
      <c r="K128" s="189"/>
      <c r="L128" s="189"/>
      <c r="M128" s="189"/>
      <c r="N128" s="189"/>
      <c r="O128" s="189"/>
    </row>
    <row r="129" spans="1:15" s="192" customFormat="1" x14ac:dyDescent="0.2">
      <c r="A129" s="192" t="s">
        <v>275</v>
      </c>
      <c r="B129" s="375" t="str">
        <f>IF(C129="","",$B$126&amp;"."&amp;COUNT($F$127:F129))</f>
        <v>4.1.3</v>
      </c>
      <c r="C129" s="379" t="str">
        <f>'2. DADOS DE ENTRADA'!B234</f>
        <v>Equipamento Roll on Roll off operando 1 turno</v>
      </c>
      <c r="D129" s="190" t="s">
        <v>4</v>
      </c>
      <c r="E129" s="203">
        <f>SUMIFS('2. DADOS DE ENTRADA'!H:H,'2. DADOS DE ENTRADA'!A:A,'10.TRANS. DEST. FINAL VOL. '!A129,'2. DADOS DE ENTRADA'!B:B,'10.TRANS. DEST. FINAL VOL. '!C129)</f>
        <v>0.02</v>
      </c>
      <c r="F129" s="376">
        <f>'3. PREÇOS UNITÁRIOS'!D46</f>
        <v>39241.384405999997</v>
      </c>
      <c r="G129" s="376">
        <f t="shared" si="5"/>
        <v>784.82768811999995</v>
      </c>
      <c r="H129" s="359"/>
      <c r="J129" s="189"/>
      <c r="K129" s="189"/>
      <c r="L129" s="189"/>
      <c r="M129" s="189"/>
      <c r="N129" s="189"/>
      <c r="O129" s="189"/>
    </row>
    <row r="130" spans="1:15" s="192" customFormat="1" x14ac:dyDescent="0.2">
      <c r="A130" s="192" t="s">
        <v>275</v>
      </c>
      <c r="B130" s="375" t="str">
        <f>IF(C130="","",$B$126&amp;"."&amp;COUNT($F$127:F130))</f>
        <v>4.1.4</v>
      </c>
      <c r="C130" s="379" t="str">
        <f>'2. DADOS DE ENTRADA'!B235</f>
        <v>Equipamento Roll on Roll off reserva</v>
      </c>
      <c r="D130" s="190" t="s">
        <v>4</v>
      </c>
      <c r="E130" s="203">
        <f>SUMIFS('2. DADOS DE ENTRADA'!H:H,'2. DADOS DE ENTRADA'!A:A,'10.TRANS. DEST. FINAL VOL. '!A130,'2. DADOS DE ENTRADA'!B:B,'10.TRANS. DEST. FINAL VOL. '!C130)</f>
        <v>0</v>
      </c>
      <c r="F130" s="376">
        <f>'3. PREÇOS UNITÁRIOS'!D46</f>
        <v>39241.384405999997</v>
      </c>
      <c r="G130" s="376">
        <f t="shared" si="5"/>
        <v>0</v>
      </c>
      <c r="H130" s="359"/>
      <c r="J130" s="189"/>
      <c r="K130" s="189"/>
      <c r="L130" s="189"/>
      <c r="M130" s="189"/>
      <c r="N130" s="189"/>
      <c r="O130" s="189"/>
    </row>
    <row r="131" spans="1:15" s="192" customFormat="1" x14ac:dyDescent="0.2">
      <c r="A131" s="192" t="s">
        <v>275</v>
      </c>
      <c r="B131" s="375" t="str">
        <f>IF(C131="","",$B$126&amp;"."&amp;COUNT($F$127:F131))</f>
        <v>4.1.5</v>
      </c>
      <c r="C131" s="583" t="str">
        <f>'2. DADOS DE ENTRADA'!B236</f>
        <v>Conteiner 39 m³ operando 1 turno</v>
      </c>
      <c r="D131" s="190" t="s">
        <v>4</v>
      </c>
      <c r="E131" s="203">
        <f>SUMIFS('2. DADOS DE ENTRADA'!H:H,'2. DADOS DE ENTRADA'!A:A,'10.TRANS. DEST. FINAL VOL. '!A131,'2. DADOS DE ENTRADA'!B:B,'10.TRANS. DEST. FINAL VOL. '!C131)</f>
        <v>0.02</v>
      </c>
      <c r="F131" s="376">
        <f>'3. PREÇOS UNITÁRIOS'!D47</f>
        <v>10721.077999999998</v>
      </c>
      <c r="G131" s="376">
        <f>E131*F131</f>
        <v>214.42155999999997</v>
      </c>
      <c r="H131" s="359"/>
      <c r="J131" s="189"/>
      <c r="K131" s="189"/>
      <c r="L131" s="189"/>
      <c r="M131" s="189"/>
      <c r="N131" s="189"/>
      <c r="O131" s="189"/>
    </row>
    <row r="132" spans="1:15" s="192" customFormat="1" x14ac:dyDescent="0.2">
      <c r="A132" s="192" t="s">
        <v>275</v>
      </c>
      <c r="B132" s="375" t="str">
        <f>IF(C132="","",$B$126&amp;"."&amp;COUNT($F$127:F132))</f>
        <v>4.1.6</v>
      </c>
      <c r="C132" s="573" t="str">
        <f>'2. DADOS DE ENTRADA'!B237</f>
        <v>Conteiner 39 m³ reserva</v>
      </c>
      <c r="D132" s="355" t="s">
        <v>4</v>
      </c>
      <c r="E132" s="584">
        <f>SUMIFS('2. DADOS DE ENTRADA'!H:H,'2. DADOS DE ENTRADA'!A:A,'10.TRANS. DEST. FINAL VOL. '!A132,'2. DADOS DE ENTRADA'!B:B,'10.TRANS. DEST. FINAL VOL. '!C132)</f>
        <v>0</v>
      </c>
      <c r="F132" s="574">
        <f>'3. PREÇOS UNITÁRIOS'!D47</f>
        <v>10721.077999999998</v>
      </c>
      <c r="G132" s="574">
        <f t="shared" si="5"/>
        <v>0</v>
      </c>
      <c r="H132" s="575"/>
      <c r="J132" s="189"/>
      <c r="K132" s="189"/>
      <c r="L132" s="189"/>
      <c r="M132" s="189"/>
      <c r="N132" s="189"/>
      <c r="O132" s="189"/>
    </row>
    <row r="133" spans="1:15" s="192" customFormat="1" ht="15" x14ac:dyDescent="0.25">
      <c r="B133" s="541"/>
      <c r="C133" s="537"/>
      <c r="D133" s="537"/>
      <c r="E133" s="537"/>
      <c r="F133" s="530" t="s">
        <v>36</v>
      </c>
      <c r="G133" s="531">
        <f>SUM(G127:G132)</f>
        <v>6778.7692481200002</v>
      </c>
      <c r="H133" s="538"/>
      <c r="J133" s="189"/>
      <c r="K133" s="189"/>
      <c r="L133" s="189"/>
      <c r="M133" s="189"/>
      <c r="N133" s="189"/>
      <c r="O133" s="189"/>
    </row>
    <row r="134" spans="1:15" s="192" customFormat="1" ht="15" x14ac:dyDescent="0.25">
      <c r="B134" s="386"/>
      <c r="C134" s="387"/>
      <c r="D134" s="387"/>
      <c r="E134" s="387"/>
      <c r="F134" s="346"/>
      <c r="G134" s="339"/>
      <c r="H134" s="388"/>
    </row>
    <row r="135" spans="1:15" s="192" customFormat="1" ht="15" x14ac:dyDescent="0.25">
      <c r="B135" s="482" t="s">
        <v>94</v>
      </c>
      <c r="C135" s="483" t="s">
        <v>360</v>
      </c>
      <c r="D135" s="484"/>
      <c r="E135" s="499"/>
      <c r="F135" s="484"/>
      <c r="G135" s="484"/>
      <c r="H135" s="485"/>
      <c r="J135" s="189"/>
      <c r="K135" s="189"/>
      <c r="L135" s="189"/>
      <c r="M135" s="189"/>
      <c r="N135" s="189"/>
      <c r="O135" s="189"/>
    </row>
    <row r="136" spans="1:15" s="192" customFormat="1" x14ac:dyDescent="0.2">
      <c r="A136" s="192" t="s">
        <v>275</v>
      </c>
      <c r="B136" s="375" t="str">
        <f>IF(C136="","",$B$135&amp;"."&amp;COUNT($F$136:F136))</f>
        <v>4.2.1</v>
      </c>
      <c r="C136" s="189" t="str">
        <f>'2. DADOS DE ENTRADA'!B228</f>
        <v>Veículo de apoio tipo picape.</v>
      </c>
      <c r="D136" s="193" t="s">
        <v>4</v>
      </c>
      <c r="E136" s="208">
        <f>SUMIFS('2. DADOS DE ENTRADA'!K:K,'2. DADOS DE ENTRADA'!A:A,'10.TRANS. DEST. FINAL VOL. '!A136,'2. DADOS DE ENTRADA'!B:B,'10.TRANS. DEST. FINAL VOL. '!C136)</f>
        <v>0</v>
      </c>
      <c r="F136" s="370">
        <f>'3. PREÇOS UNITÁRIOS'!D38</f>
        <v>0</v>
      </c>
      <c r="G136" s="370">
        <f>E136*F136</f>
        <v>0</v>
      </c>
      <c r="H136" s="359"/>
      <c r="J136" s="189"/>
      <c r="K136" s="189"/>
      <c r="L136" s="189"/>
      <c r="M136" s="189"/>
      <c r="N136" s="189"/>
      <c r="O136" s="189"/>
    </row>
    <row r="137" spans="1:15" ht="15" x14ac:dyDescent="0.25">
      <c r="B137" s="543"/>
      <c r="C137" s="524"/>
      <c r="D137" s="524"/>
      <c r="E137" s="571"/>
      <c r="F137" s="525" t="s">
        <v>36</v>
      </c>
      <c r="G137" s="526">
        <f>SUM(G136:G136)</f>
        <v>0</v>
      </c>
      <c r="H137" s="527"/>
    </row>
    <row r="138" spans="1:15" ht="15" x14ac:dyDescent="0.2">
      <c r="B138" s="508"/>
      <c r="C138" s="509"/>
      <c r="D138" s="509" t="s">
        <v>309</v>
      </c>
      <c r="E138" s="509"/>
      <c r="F138" s="509"/>
      <c r="G138" s="510">
        <f>G133+G137</f>
        <v>6778.7692481200002</v>
      </c>
      <c r="H138" s="511"/>
      <c r="I138" s="414"/>
    </row>
    <row r="139" spans="1:15" x14ac:dyDescent="0.2">
      <c r="B139" s="335"/>
      <c r="C139" s="192"/>
      <c r="D139" s="192"/>
      <c r="E139" s="192"/>
      <c r="F139" s="192"/>
      <c r="H139" s="334"/>
    </row>
    <row r="140" spans="1:15" ht="15" x14ac:dyDescent="0.2">
      <c r="B140" s="420" t="s">
        <v>48</v>
      </c>
      <c r="C140" s="421" t="s">
        <v>49</v>
      </c>
      <c r="D140" s="422"/>
      <c r="E140" s="422"/>
      <c r="F140" s="422"/>
      <c r="G140" s="422"/>
      <c r="H140" s="423"/>
      <c r="J140" s="192"/>
      <c r="K140" s="192"/>
      <c r="L140" s="192"/>
      <c r="M140" s="192"/>
    </row>
    <row r="141" spans="1:15" ht="15" x14ac:dyDescent="0.2">
      <c r="B141" s="284"/>
      <c r="C141" s="285"/>
      <c r="D141" s="286"/>
      <c r="E141" s="286"/>
      <c r="F141" s="286"/>
      <c r="G141" s="286"/>
      <c r="H141" s="287"/>
      <c r="J141" s="192"/>
      <c r="K141" s="192"/>
      <c r="L141" s="192"/>
      <c r="M141" s="192"/>
    </row>
    <row r="142" spans="1:15" ht="15" x14ac:dyDescent="0.2">
      <c r="B142" s="420" t="s">
        <v>7</v>
      </c>
      <c r="C142" s="421" t="s">
        <v>8</v>
      </c>
      <c r="D142" s="422" t="s">
        <v>9</v>
      </c>
      <c r="E142" s="422" t="s">
        <v>10</v>
      </c>
      <c r="F142" s="422" t="s">
        <v>11</v>
      </c>
      <c r="G142" s="422" t="s">
        <v>12</v>
      </c>
      <c r="H142" s="423"/>
      <c r="I142" s="474"/>
      <c r="J142" s="192"/>
      <c r="K142" s="192"/>
      <c r="L142" s="192"/>
      <c r="M142" s="192"/>
    </row>
    <row r="143" spans="1:15" ht="15" x14ac:dyDescent="0.25">
      <c r="B143" s="497" t="s">
        <v>96</v>
      </c>
      <c r="C143" s="498" t="s">
        <v>101</v>
      </c>
      <c r="D143" s="499"/>
      <c r="E143" s="499"/>
      <c r="F143" s="499"/>
      <c r="G143" s="499"/>
      <c r="H143" s="500"/>
      <c r="J143" s="192"/>
      <c r="K143" s="192"/>
      <c r="L143" s="192"/>
      <c r="M143" s="192"/>
    </row>
    <row r="144" spans="1:15" x14ac:dyDescent="0.2">
      <c r="B144" s="335" t="s">
        <v>99</v>
      </c>
      <c r="C144" s="379" t="str">
        <f>C127</f>
        <v xml:space="preserve">Caminhão para Roll on Roll off </v>
      </c>
      <c r="D144" s="193" t="s">
        <v>1</v>
      </c>
      <c r="E144" s="383">
        <f>'2. DADOS DE ENTRADA'!C226</f>
        <v>0.65180000000000005</v>
      </c>
      <c r="F144" s="407">
        <f>(F127*E127)-(E127*10*F182)</f>
        <v>5331.52</v>
      </c>
      <c r="G144" s="544">
        <f>(F144/'2. DADOS DE ENTRADA'!D232)*'10.TRANS. DEST. FINAL VOL. '!E144</f>
        <v>28.959039466666674</v>
      </c>
      <c r="H144" s="334"/>
      <c r="I144" s="413"/>
      <c r="J144" s="224"/>
    </row>
    <row r="145" spans="2:10" x14ac:dyDescent="0.2">
      <c r="B145" s="335" t="s">
        <v>73</v>
      </c>
      <c r="C145" s="379" t="str">
        <f t="shared" ref="C145:C149" si="6">C128</f>
        <v>Caminhão para Roll on Roll off reserva</v>
      </c>
      <c r="D145" s="193" t="s">
        <v>1</v>
      </c>
      <c r="E145" s="383">
        <f>'2. DADOS DE ENTRADA'!C227</f>
        <v>0.65180000000000005</v>
      </c>
      <c r="F145" s="407">
        <f>(F128*E128)-(E128*10*F182)</f>
        <v>0</v>
      </c>
      <c r="G145" s="544">
        <f>(F145/'2. DADOS DE ENTRADA'!D233)*'10.TRANS. DEST. FINAL VOL. '!E145</f>
        <v>0</v>
      </c>
      <c r="H145" s="334"/>
      <c r="I145" s="413"/>
      <c r="J145" s="224"/>
    </row>
    <row r="146" spans="2:10" x14ac:dyDescent="0.2">
      <c r="B146" s="335" t="s">
        <v>78</v>
      </c>
      <c r="C146" s="379" t="str">
        <f t="shared" si="6"/>
        <v>Equipamento Roll on Roll off operando 1 turno</v>
      </c>
      <c r="D146" s="193" t="s">
        <v>1</v>
      </c>
      <c r="E146" s="383">
        <f>'2. DADOS DE ENTRADA'!C230</f>
        <v>0.65180000000000005</v>
      </c>
      <c r="F146" s="407">
        <f>E129*F129</f>
        <v>784.82768811999995</v>
      </c>
      <c r="G146" s="544">
        <f>(F146/'2. DADOS DE ENTRADA'!D234)*'10.TRANS. DEST. FINAL VOL. '!E146</f>
        <v>4.2629223926384672</v>
      </c>
      <c r="H146" s="334"/>
      <c r="I146" s="413"/>
      <c r="J146" s="224"/>
    </row>
    <row r="147" spans="2:10" x14ac:dyDescent="0.2">
      <c r="B147" s="335" t="s">
        <v>361</v>
      </c>
      <c r="C147" s="379" t="str">
        <f t="shared" si="6"/>
        <v>Equipamento Roll on Roll off reserva</v>
      </c>
      <c r="D147" s="193" t="s">
        <v>1</v>
      </c>
      <c r="E147" s="383">
        <f>'2. DADOS DE ENTRADA'!C231</f>
        <v>0.65180000000000005</v>
      </c>
      <c r="F147" s="407">
        <f>E130*F130</f>
        <v>0</v>
      </c>
      <c r="G147" s="544">
        <f>(F147/'2. DADOS DE ENTRADA'!D235)*'10.TRANS. DEST. FINAL VOL. '!E147</f>
        <v>0</v>
      </c>
      <c r="H147" s="334"/>
      <c r="I147" s="413"/>
      <c r="J147" s="224"/>
    </row>
    <row r="148" spans="2:10" x14ac:dyDescent="0.2">
      <c r="B148" s="335" t="s">
        <v>364</v>
      </c>
      <c r="C148" s="379" t="str">
        <f t="shared" si="6"/>
        <v>Conteiner 39 m³ operando 1 turno</v>
      </c>
      <c r="D148" s="193" t="s">
        <v>1</v>
      </c>
      <c r="E148" s="383">
        <f>'2. DADOS DE ENTRADA'!C232</f>
        <v>0.65180000000000005</v>
      </c>
      <c r="F148" s="407">
        <f>E131*F131</f>
        <v>214.42155999999997</v>
      </c>
      <c r="G148" s="544">
        <f>(F148/'2. DADOS DE ENTRADA'!D236)*'10.TRANS. DEST. FINAL VOL. '!E148</f>
        <v>1.1646664400666666</v>
      </c>
      <c r="H148" s="334"/>
      <c r="I148" s="413"/>
      <c r="J148" s="224"/>
    </row>
    <row r="149" spans="2:10" x14ac:dyDescent="0.2">
      <c r="B149" s="335" t="s">
        <v>363</v>
      </c>
      <c r="C149" s="379" t="str">
        <f t="shared" si="6"/>
        <v>Conteiner 39 m³ reserva</v>
      </c>
      <c r="D149" s="193" t="s">
        <v>1</v>
      </c>
      <c r="E149" s="383">
        <f>'2. DADOS DE ENTRADA'!C233</f>
        <v>0.65180000000000005</v>
      </c>
      <c r="F149" s="407">
        <f>E132*F132</f>
        <v>0</v>
      </c>
      <c r="G149" s="544">
        <f>(F149/'2. DADOS DE ENTRADA'!D237)*'10.TRANS. DEST. FINAL VOL. '!E149</f>
        <v>0</v>
      </c>
      <c r="H149" s="334"/>
      <c r="I149" s="413"/>
      <c r="J149" s="224"/>
    </row>
    <row r="150" spans="2:10" ht="15" x14ac:dyDescent="0.25">
      <c r="B150" s="540"/>
      <c r="C150" s="529"/>
      <c r="D150" s="529"/>
      <c r="E150" s="529"/>
      <c r="F150" s="530" t="s">
        <v>36</v>
      </c>
      <c r="G150" s="531">
        <f>SUM(G144:G149)</f>
        <v>34.386628299371807</v>
      </c>
      <c r="H150" s="532"/>
      <c r="I150" s="413"/>
      <c r="J150" s="224"/>
    </row>
    <row r="151" spans="2:10" s="192" customFormat="1" ht="15" x14ac:dyDescent="0.25">
      <c r="B151" s="386"/>
      <c r="C151" s="387"/>
      <c r="D151" s="387"/>
      <c r="E151" s="387"/>
      <c r="F151" s="346"/>
      <c r="G151" s="339"/>
      <c r="H151" s="388"/>
      <c r="I151" s="413"/>
      <c r="J151" s="413"/>
    </row>
    <row r="152" spans="2:10" ht="15" x14ac:dyDescent="0.25">
      <c r="B152" s="497" t="s">
        <v>125</v>
      </c>
      <c r="C152" s="498" t="s">
        <v>51</v>
      </c>
      <c r="D152" s="499"/>
      <c r="E152" s="499"/>
      <c r="F152" s="499"/>
      <c r="G152" s="499"/>
      <c r="H152" s="500"/>
    </row>
    <row r="153" spans="2:10" s="192" customFormat="1" x14ac:dyDescent="0.2">
      <c r="B153" s="389" t="s">
        <v>368</v>
      </c>
      <c r="C153" s="363" t="s">
        <v>908</v>
      </c>
      <c r="D153" s="364" t="s">
        <v>1</v>
      </c>
      <c r="E153" s="390">
        <f>'2. DADOS DE ENTRADA'!C228</f>
        <v>0.65180000000000005</v>
      </c>
      <c r="F153" s="369">
        <f>(E136*F136)-(E136*4*F193)</f>
        <v>0</v>
      </c>
      <c r="G153" s="369">
        <f>(F153/'2. DADOS DE ENTRADA'!D228)*E153</f>
        <v>0</v>
      </c>
      <c r="H153" s="365"/>
      <c r="I153" s="413"/>
      <c r="J153" s="413"/>
    </row>
    <row r="154" spans="2:10" ht="15" x14ac:dyDescent="0.25">
      <c r="B154" s="540"/>
      <c r="C154" s="529"/>
      <c r="D154" s="529"/>
      <c r="E154" s="529"/>
      <c r="F154" s="530" t="s">
        <v>36</v>
      </c>
      <c r="G154" s="531">
        <f>SUM(G153:G153)</f>
        <v>0</v>
      </c>
      <c r="H154" s="532"/>
      <c r="I154" s="391"/>
      <c r="J154" s="224"/>
    </row>
    <row r="155" spans="2:10" x14ac:dyDescent="0.2">
      <c r="B155" s="335"/>
      <c r="C155" s="192"/>
      <c r="D155" s="190"/>
      <c r="E155" s="190"/>
      <c r="F155" s="192"/>
      <c r="G155" s="391"/>
      <c r="H155" s="392"/>
      <c r="I155" s="391"/>
    </row>
    <row r="156" spans="2:10" ht="15" x14ac:dyDescent="0.25">
      <c r="B156" s="497" t="s">
        <v>126</v>
      </c>
      <c r="C156" s="546" t="s">
        <v>119</v>
      </c>
      <c r="D156" s="547" t="s">
        <v>1</v>
      </c>
      <c r="E156" s="547">
        <v>1.06</v>
      </c>
      <c r="F156" s="548">
        <f>SUM(F144:F149,F153:F153)</f>
        <v>6330.7692481200002</v>
      </c>
      <c r="G156" s="549">
        <f>F156*E156/100</f>
        <v>67.106154030072005</v>
      </c>
      <c r="H156" s="550"/>
      <c r="I156" s="391"/>
    </row>
    <row r="157" spans="2:10" x14ac:dyDescent="0.2">
      <c r="B157" s="335"/>
      <c r="C157" s="192"/>
      <c r="D157" s="190"/>
      <c r="E157" s="190"/>
      <c r="F157" s="192"/>
      <c r="H157" s="334"/>
    </row>
    <row r="158" spans="2:10" ht="15" x14ac:dyDescent="0.25">
      <c r="B158" s="497" t="s">
        <v>127</v>
      </c>
      <c r="C158" s="498" t="s">
        <v>52</v>
      </c>
      <c r="D158" s="499"/>
      <c r="E158" s="499"/>
      <c r="F158" s="499" t="s">
        <v>102</v>
      </c>
      <c r="G158" s="499" t="s">
        <v>105</v>
      </c>
      <c r="H158" s="500"/>
    </row>
    <row r="159" spans="2:10" x14ac:dyDescent="0.2">
      <c r="B159" s="335" t="s">
        <v>316</v>
      </c>
      <c r="C159" s="192" t="s">
        <v>602</v>
      </c>
      <c r="D159" s="190" t="s">
        <v>4</v>
      </c>
      <c r="E159" s="217">
        <f>E127+E128</f>
        <v>0.02</v>
      </c>
      <c r="F159" s="370">
        <f>'3. PREÇOS UNITÁRIOS'!D50</f>
        <v>2889.76</v>
      </c>
      <c r="G159" s="370">
        <f t="shared" ref="G159:G162" si="7">E159*F159</f>
        <v>57.795200000000008</v>
      </c>
      <c r="H159" s="334"/>
    </row>
    <row r="160" spans="2:10" x14ac:dyDescent="0.2">
      <c r="B160" s="335" t="s">
        <v>317</v>
      </c>
      <c r="C160" s="192" t="s">
        <v>85</v>
      </c>
      <c r="D160" s="190" t="s">
        <v>4</v>
      </c>
      <c r="E160" s="217">
        <f>E136</f>
        <v>0</v>
      </c>
      <c r="F160" s="370">
        <f>'3. PREÇOS UNITÁRIOS'!D51</f>
        <v>0</v>
      </c>
      <c r="G160" s="370">
        <f t="shared" si="7"/>
        <v>0</v>
      </c>
      <c r="H160" s="334"/>
    </row>
    <row r="161" spans="2:10" x14ac:dyDescent="0.2">
      <c r="B161" s="335" t="s">
        <v>318</v>
      </c>
      <c r="C161" s="192" t="s">
        <v>601</v>
      </c>
      <c r="D161" s="190"/>
      <c r="E161" s="217">
        <f>E159</f>
        <v>0.02</v>
      </c>
      <c r="F161" s="370">
        <f>'3. PREÇOS UNITÁRIOS'!D52</f>
        <v>150</v>
      </c>
      <c r="G161" s="370">
        <f t="shared" si="7"/>
        <v>3</v>
      </c>
      <c r="H161" s="334"/>
    </row>
    <row r="162" spans="2:10" x14ac:dyDescent="0.2">
      <c r="B162" s="335" t="s">
        <v>319</v>
      </c>
      <c r="C162" s="192" t="s">
        <v>569</v>
      </c>
      <c r="D162" s="190" t="s">
        <v>4</v>
      </c>
      <c r="E162" s="217">
        <f>E160</f>
        <v>0</v>
      </c>
      <c r="F162" s="370">
        <f>'3. PREÇOS UNITÁRIOS'!D53</f>
        <v>142.69</v>
      </c>
      <c r="G162" s="370">
        <f t="shared" si="7"/>
        <v>0</v>
      </c>
      <c r="H162" s="334"/>
    </row>
    <row r="163" spans="2:10" ht="15" x14ac:dyDescent="0.25">
      <c r="B163" s="551"/>
      <c r="C163" s="552"/>
      <c r="D163" s="552"/>
      <c r="E163" s="552"/>
      <c r="F163" s="525" t="s">
        <v>36</v>
      </c>
      <c r="G163" s="526">
        <f>SUM(G159:G162)</f>
        <v>60.795200000000008</v>
      </c>
      <c r="H163" s="553"/>
      <c r="I163" s="476"/>
    </row>
    <row r="164" spans="2:10" ht="15" x14ac:dyDescent="0.25">
      <c r="B164" s="541"/>
      <c r="C164" s="537"/>
      <c r="D164" s="537"/>
      <c r="E164" s="537"/>
      <c r="F164" s="530" t="s">
        <v>370</v>
      </c>
      <c r="G164" s="531">
        <f>G163/12</f>
        <v>5.0662666666666674</v>
      </c>
      <c r="H164" s="538"/>
      <c r="I164" s="476"/>
    </row>
    <row r="165" spans="2:10" x14ac:dyDescent="0.2">
      <c r="B165" s="353"/>
      <c r="C165" s="354"/>
      <c r="D165" s="355"/>
      <c r="E165" s="354"/>
      <c r="F165" s="354"/>
      <c r="G165" s="398"/>
      <c r="H165" s="399"/>
      <c r="I165" s="476"/>
    </row>
    <row r="166" spans="2:10" ht="15" x14ac:dyDescent="0.25">
      <c r="B166" s="497" t="s">
        <v>128</v>
      </c>
      <c r="C166" s="498" t="s">
        <v>53</v>
      </c>
      <c r="D166" s="499"/>
      <c r="E166" s="499"/>
      <c r="F166" s="499"/>
      <c r="G166" s="499"/>
      <c r="H166" s="500"/>
    </row>
    <row r="167" spans="2:10" x14ac:dyDescent="0.2">
      <c r="B167" s="335" t="s">
        <v>312</v>
      </c>
      <c r="C167" s="192" t="s">
        <v>871</v>
      </c>
      <c r="D167" s="190" t="s">
        <v>311</v>
      </c>
      <c r="E167" s="400">
        <f>'2. DADOS DE ENTRADA'!F269/'2. DADOS DE ENTRADA'!D258</f>
        <v>11.11</v>
      </c>
      <c r="F167" s="370">
        <f>'3. PREÇOS UNITÁRIOS'!D31</f>
        <v>6.29</v>
      </c>
      <c r="G167" s="370">
        <f t="shared" ref="G167:G168" si="8">E167*F167</f>
        <v>69.881900000000002</v>
      </c>
      <c r="H167" s="392"/>
      <c r="I167" s="391"/>
      <c r="J167" s="554"/>
    </row>
    <row r="168" spans="2:10" x14ac:dyDescent="0.2">
      <c r="B168" s="335" t="s">
        <v>313</v>
      </c>
      <c r="C168" s="192" t="s">
        <v>57</v>
      </c>
      <c r="D168" s="190" t="s">
        <v>311</v>
      </c>
      <c r="E168" s="400">
        <f>'2. DADOS DE ENTRADA'!I266/'2. DADOS DE ENTRADA'!D255</f>
        <v>0</v>
      </c>
      <c r="F168" s="370">
        <f>'3. PREÇOS UNITÁRIOS'!D32</f>
        <v>0</v>
      </c>
      <c r="G168" s="370">
        <f t="shared" si="8"/>
        <v>0</v>
      </c>
      <c r="H168" s="334"/>
    </row>
    <row r="169" spans="2:10" ht="15" x14ac:dyDescent="0.25">
      <c r="B169" s="541"/>
      <c r="C169" s="537"/>
      <c r="D169" s="537"/>
      <c r="E169" s="537"/>
      <c r="F169" s="530" t="s">
        <v>36</v>
      </c>
      <c r="G169" s="531">
        <f>SUM(G167:G168)</f>
        <v>69.881900000000002</v>
      </c>
      <c r="H169" s="538"/>
      <c r="I169" s="391"/>
    </row>
    <row r="170" spans="2:10" s="192" customFormat="1" ht="15" x14ac:dyDescent="0.25">
      <c r="B170" s="401"/>
      <c r="C170" s="201"/>
      <c r="D170" s="201"/>
      <c r="E170" s="201"/>
      <c r="F170" s="339"/>
      <c r="G170" s="339"/>
      <c r="H170" s="402"/>
      <c r="I170" s="391"/>
    </row>
    <row r="171" spans="2:10" ht="15" x14ac:dyDescent="0.25">
      <c r="B171" s="497" t="s">
        <v>129</v>
      </c>
      <c r="C171" s="498" t="s">
        <v>655</v>
      </c>
      <c r="D171" s="499"/>
      <c r="E171" s="499"/>
      <c r="F171" s="499"/>
      <c r="G171" s="499"/>
      <c r="H171" s="500"/>
    </row>
    <row r="172" spans="2:10" x14ac:dyDescent="0.2">
      <c r="B172" s="335" t="s">
        <v>321</v>
      </c>
      <c r="C172" s="192" t="s">
        <v>58</v>
      </c>
      <c r="D172" s="190" t="s">
        <v>1</v>
      </c>
      <c r="E172" s="190">
        <v>1.2</v>
      </c>
      <c r="F172" s="391">
        <f>SUM(F144:F149)</f>
        <v>6330.7692481200002</v>
      </c>
      <c r="G172" s="357">
        <f>(E172/100)*F172</f>
        <v>75.969230977440006</v>
      </c>
      <c r="H172" s="334"/>
    </row>
    <row r="173" spans="2:10" x14ac:dyDescent="0.2">
      <c r="B173" s="335" t="s">
        <v>322</v>
      </c>
      <c r="C173" s="192" t="s">
        <v>14</v>
      </c>
      <c r="D173" s="190" t="s">
        <v>1</v>
      </c>
      <c r="E173" s="190">
        <v>1.2</v>
      </c>
      <c r="F173" s="391">
        <f>SUM(F153:F153)</f>
        <v>0</v>
      </c>
      <c r="G173" s="357">
        <f>(E173/100)*F173</f>
        <v>0</v>
      </c>
      <c r="H173" s="392"/>
      <c r="I173" s="391"/>
    </row>
    <row r="174" spans="2:10" x14ac:dyDescent="0.2">
      <c r="B174" s="335" t="s">
        <v>666</v>
      </c>
      <c r="C174" s="192" t="s">
        <v>660</v>
      </c>
      <c r="D174" s="190" t="s">
        <v>4</v>
      </c>
      <c r="E174" s="222">
        <f>'2. DADOS DE ENTRADA'!K242+'2. DADOS DE ENTRADA'!K243</f>
        <v>1.98</v>
      </c>
      <c r="F174" s="391">
        <f>'3. PREÇOS UNITÁRIOS'!D64</f>
        <v>330</v>
      </c>
      <c r="G174" s="357">
        <f>F174*E174</f>
        <v>653.4</v>
      </c>
      <c r="H174" s="392"/>
      <c r="I174" s="391"/>
    </row>
    <row r="175" spans="2:10" x14ac:dyDescent="0.2">
      <c r="B175" s="335" t="s">
        <v>667</v>
      </c>
      <c r="C175" s="192" t="s">
        <v>664</v>
      </c>
      <c r="D175" s="190" t="s">
        <v>4</v>
      </c>
      <c r="E175" s="222">
        <f>'2. DADOS DE ENTRADA'!K244</f>
        <v>0</v>
      </c>
      <c r="F175" s="391">
        <f>'3. PREÇOS UNITÁRIOS'!D66</f>
        <v>70</v>
      </c>
      <c r="G175" s="357">
        <f>F175*E175</f>
        <v>0</v>
      </c>
      <c r="H175" s="392"/>
      <c r="I175" s="391"/>
    </row>
    <row r="176" spans="2:10" ht="15" x14ac:dyDescent="0.25">
      <c r="B176" s="541"/>
      <c r="C176" s="537"/>
      <c r="D176" s="537"/>
      <c r="E176" s="537"/>
      <c r="F176" s="530" t="s">
        <v>36</v>
      </c>
      <c r="G176" s="531">
        <f>SUM(G172:G175)</f>
        <v>729.36923097744</v>
      </c>
      <c r="H176" s="538"/>
      <c r="I176" s="391"/>
    </row>
    <row r="177" spans="2:9" x14ac:dyDescent="0.2">
      <c r="B177" s="335"/>
      <c r="C177" s="192"/>
      <c r="D177" s="190"/>
      <c r="E177" s="190"/>
      <c r="F177" s="391"/>
      <c r="G177" s="357"/>
      <c r="H177" s="334"/>
    </row>
    <row r="178" spans="2:9" ht="15" x14ac:dyDescent="0.25">
      <c r="B178" s="497" t="s">
        <v>130</v>
      </c>
      <c r="C178" s="498" t="s">
        <v>59</v>
      </c>
      <c r="D178" s="499"/>
      <c r="E178" s="499"/>
      <c r="F178" s="499"/>
      <c r="G178" s="499"/>
      <c r="H178" s="500"/>
    </row>
    <row r="179" spans="2:9" ht="15" x14ac:dyDescent="0.25">
      <c r="B179" s="497" t="s">
        <v>339</v>
      </c>
      <c r="C179" s="498" t="s">
        <v>870</v>
      </c>
      <c r="D179" s="499"/>
      <c r="E179" s="499"/>
      <c r="F179" s="499"/>
      <c r="G179" s="499"/>
      <c r="H179" s="500"/>
    </row>
    <row r="180" spans="2:9" x14ac:dyDescent="0.2">
      <c r="B180" s="335" t="s">
        <v>342</v>
      </c>
      <c r="C180" s="393" t="s">
        <v>60</v>
      </c>
      <c r="D180" s="394" t="s">
        <v>3</v>
      </c>
      <c r="E180" s="395">
        <f>'2. DADOS DE ENTRADA'!E253</f>
        <v>60000</v>
      </c>
      <c r="F180" s="393"/>
      <c r="G180" s="393"/>
      <c r="H180" s="396"/>
    </row>
    <row r="181" spans="2:9" x14ac:dyDescent="0.2">
      <c r="B181" s="335" t="s">
        <v>343</v>
      </c>
      <c r="C181" s="189" t="s">
        <v>61</v>
      </c>
      <c r="D181" s="193" t="str">
        <f>D180</f>
        <v>Km</v>
      </c>
      <c r="E181" s="194">
        <f>'2. DADOS DE ENTRADA'!F269</f>
        <v>33.33</v>
      </c>
      <c r="F181" s="189"/>
      <c r="G181" s="189"/>
      <c r="H181" s="350"/>
    </row>
    <row r="182" spans="2:9" x14ac:dyDescent="0.2">
      <c r="B182" s="335" t="s">
        <v>344</v>
      </c>
      <c r="C182" s="192" t="s">
        <v>86</v>
      </c>
      <c r="D182" s="190" t="s">
        <v>4</v>
      </c>
      <c r="E182" s="217">
        <f>'2. DADOS DE ENTRADA'!F258</f>
        <v>0.08</v>
      </c>
      <c r="F182" s="357">
        <f>'3. PREÇOS UNITÁRIOS'!D56</f>
        <v>2240</v>
      </c>
      <c r="G182" s="357">
        <f>E182*F182</f>
        <v>179.20000000000002</v>
      </c>
      <c r="H182" s="350"/>
    </row>
    <row r="183" spans="2:9" x14ac:dyDescent="0.2">
      <c r="B183" s="335" t="s">
        <v>345</v>
      </c>
      <c r="C183" s="192" t="s">
        <v>62</v>
      </c>
      <c r="D183" s="190" t="s">
        <v>4</v>
      </c>
      <c r="E183" s="217">
        <f>'2. DADOS DE ENTRADA'!G258</f>
        <v>0.08</v>
      </c>
      <c r="F183" s="357">
        <f>'3. PREÇOS UNITÁRIOS'!D57</f>
        <v>240</v>
      </c>
      <c r="G183" s="357">
        <f>E183*F183</f>
        <v>19.2</v>
      </c>
      <c r="H183" s="350"/>
    </row>
    <row r="184" spans="2:9" x14ac:dyDescent="0.2">
      <c r="B184" s="335" t="s">
        <v>346</v>
      </c>
      <c r="C184" s="192" t="s">
        <v>63</v>
      </c>
      <c r="D184" s="190" t="s">
        <v>4</v>
      </c>
      <c r="E184" s="217">
        <f>'2. DADOS DE ENTRADA'!H258</f>
        <v>0.08</v>
      </c>
      <c r="F184" s="357">
        <f>'3. PREÇOS UNITÁRIOS'!D58</f>
        <v>120</v>
      </c>
      <c r="G184" s="357">
        <f>E184*F184</f>
        <v>9.6</v>
      </c>
      <c r="H184" s="350"/>
    </row>
    <row r="185" spans="2:9" x14ac:dyDescent="0.2">
      <c r="B185" s="335" t="s">
        <v>347</v>
      </c>
      <c r="C185" s="192" t="s">
        <v>64</v>
      </c>
      <c r="D185" s="190" t="s">
        <v>4</v>
      </c>
      <c r="E185" s="217">
        <f>'2. DADOS DE ENTRADA'!I258</f>
        <v>0.16</v>
      </c>
      <c r="F185" s="357">
        <f>'3. PREÇOS UNITÁRIOS'!D59</f>
        <v>625</v>
      </c>
      <c r="G185" s="357">
        <f>E185*F185</f>
        <v>100</v>
      </c>
      <c r="H185" s="350"/>
    </row>
    <row r="186" spans="2:9" x14ac:dyDescent="0.2">
      <c r="B186" s="335" t="s">
        <v>348</v>
      </c>
      <c r="C186" s="189" t="s">
        <v>65</v>
      </c>
      <c r="D186" s="193" t="s">
        <v>4</v>
      </c>
      <c r="E186" s="194">
        <f>'2. DADOS DE ENTRADA'!J258</f>
        <v>1</v>
      </c>
      <c r="F186" s="403">
        <f>'3. PREÇOS UNITÁRIOS'!D60</f>
        <v>250</v>
      </c>
      <c r="G186" s="403">
        <f>E186*F186</f>
        <v>250</v>
      </c>
      <c r="H186" s="350"/>
    </row>
    <row r="187" spans="2:9" ht="15" x14ac:dyDescent="0.25">
      <c r="B187" s="551"/>
      <c r="C187" s="552"/>
      <c r="D187" s="552"/>
      <c r="E187" s="552"/>
      <c r="F187" s="525" t="s">
        <v>36</v>
      </c>
      <c r="G187" s="526">
        <f>SUM(G182:G186)</f>
        <v>558</v>
      </c>
      <c r="H187" s="553"/>
      <c r="I187" s="357"/>
    </row>
    <row r="188" spans="2:9" ht="15" x14ac:dyDescent="0.25">
      <c r="B188" s="541"/>
      <c r="C188" s="537"/>
      <c r="D188" s="537"/>
      <c r="E188" s="537"/>
      <c r="F188" s="530" t="s">
        <v>370</v>
      </c>
      <c r="G188" s="531">
        <f>(G187/E180)*E181</f>
        <v>0.30996899999999994</v>
      </c>
      <c r="H188" s="538"/>
      <c r="I188" s="357"/>
    </row>
    <row r="189" spans="2:9" x14ac:dyDescent="0.2">
      <c r="B189" s="335"/>
      <c r="C189" s="189"/>
      <c r="D189" s="190"/>
      <c r="E189" s="217"/>
      <c r="F189" s="192"/>
      <c r="H189" s="334"/>
    </row>
    <row r="190" spans="2:9" ht="15" x14ac:dyDescent="0.25">
      <c r="B190" s="497" t="s">
        <v>340</v>
      </c>
      <c r="C190" s="498" t="s">
        <v>67</v>
      </c>
      <c r="D190" s="499"/>
      <c r="E190" s="499"/>
      <c r="F190" s="499"/>
      <c r="G190" s="499"/>
      <c r="H190" s="500"/>
      <c r="I190" s="357"/>
    </row>
    <row r="191" spans="2:9" x14ac:dyDescent="0.2">
      <c r="B191" s="345" t="s">
        <v>349</v>
      </c>
      <c r="C191" s="192" t="s">
        <v>60</v>
      </c>
      <c r="D191" s="190" t="s">
        <v>3</v>
      </c>
      <c r="E191" s="217">
        <f>'2. DADOS DE ENTRADA'!E255</f>
        <v>60000</v>
      </c>
      <c r="F191" s="192"/>
      <c r="H191" s="334"/>
    </row>
    <row r="192" spans="2:9" x14ac:dyDescent="0.2">
      <c r="B192" s="345" t="s">
        <v>350</v>
      </c>
      <c r="C192" s="192" t="s">
        <v>68</v>
      </c>
      <c r="D192" s="190" t="str">
        <f>D191</f>
        <v>Km</v>
      </c>
      <c r="E192" s="217">
        <f>'2. DADOS DE ENTRADA'!G266</f>
        <v>0</v>
      </c>
      <c r="F192" s="192"/>
      <c r="H192" s="334"/>
    </row>
    <row r="193" spans="1:15" x14ac:dyDescent="0.2">
      <c r="B193" s="345" t="s">
        <v>351</v>
      </c>
      <c r="C193" s="192" t="s">
        <v>120</v>
      </c>
      <c r="D193" s="190" t="s">
        <v>4</v>
      </c>
      <c r="E193" s="217">
        <f>'2. DADOS DE ENTRADA'!F255</f>
        <v>0</v>
      </c>
      <c r="F193" s="391">
        <f>'3. PREÇOS UNITÁRIOS'!D62</f>
        <v>0</v>
      </c>
      <c r="G193" s="391">
        <f>E193*F193</f>
        <v>0</v>
      </c>
      <c r="H193" s="334"/>
    </row>
    <row r="194" spans="1:15" ht="15" x14ac:dyDescent="0.25">
      <c r="B194" s="551"/>
      <c r="C194" s="552"/>
      <c r="D194" s="552"/>
      <c r="E194" s="552"/>
      <c r="F194" s="525" t="s">
        <v>36</v>
      </c>
      <c r="G194" s="526">
        <f>SUM(G193)</f>
        <v>0</v>
      </c>
      <c r="H194" s="557"/>
      <c r="I194" s="357"/>
    </row>
    <row r="195" spans="1:15" ht="15" x14ac:dyDescent="0.25">
      <c r="B195" s="541"/>
      <c r="C195" s="537"/>
      <c r="D195" s="537"/>
      <c r="E195" s="537"/>
      <c r="F195" s="530" t="s">
        <v>370</v>
      </c>
      <c r="G195" s="531">
        <f>(G194/E191)*E192</f>
        <v>0</v>
      </c>
      <c r="H195" s="538"/>
      <c r="I195" s="357"/>
    </row>
    <row r="196" spans="1:15" x14ac:dyDescent="0.2">
      <c r="B196" s="335"/>
      <c r="C196" s="189"/>
      <c r="D196" s="189"/>
      <c r="E196" s="189"/>
      <c r="F196" s="189"/>
      <c r="G196" s="189"/>
      <c r="H196" s="350"/>
      <c r="I196" s="357"/>
    </row>
    <row r="197" spans="1:15" ht="15" x14ac:dyDescent="0.25">
      <c r="B197" s="512" t="s">
        <v>341</v>
      </c>
      <c r="C197" s="139" t="s">
        <v>621</v>
      </c>
      <c r="D197" s="513"/>
      <c r="E197" s="513"/>
      <c r="F197" s="513"/>
      <c r="G197" s="513"/>
      <c r="H197" s="514"/>
      <c r="I197" s="357"/>
    </row>
    <row r="198" spans="1:15" x14ac:dyDescent="0.2">
      <c r="B198" s="362" t="s">
        <v>392</v>
      </c>
      <c r="C198" s="363" t="s">
        <v>621</v>
      </c>
      <c r="D198" s="364" t="s">
        <v>1</v>
      </c>
      <c r="E198" s="404">
        <v>0.1</v>
      </c>
      <c r="F198" s="369">
        <f>G169</f>
        <v>69.881900000000002</v>
      </c>
      <c r="G198" s="369">
        <f>E198*F198</f>
        <v>6.9881900000000003</v>
      </c>
      <c r="H198" s="405"/>
      <c r="I198" s="357"/>
    </row>
    <row r="199" spans="1:15" ht="15" x14ac:dyDescent="0.25">
      <c r="B199" s="551"/>
      <c r="C199" s="552"/>
      <c r="D199" s="552"/>
      <c r="E199" s="552"/>
      <c r="F199" s="525" t="s">
        <v>36</v>
      </c>
      <c r="G199" s="526">
        <f>SUM(G198)</f>
        <v>6.9881900000000003</v>
      </c>
      <c r="H199" s="557"/>
    </row>
    <row r="200" spans="1:15" s="192" customFormat="1" ht="15" x14ac:dyDescent="0.25">
      <c r="B200" s="551"/>
      <c r="C200" s="552"/>
      <c r="D200" s="552"/>
      <c r="E200" s="552"/>
      <c r="F200" s="525" t="s">
        <v>370</v>
      </c>
      <c r="G200" s="526">
        <f>G199</f>
        <v>6.9881900000000003</v>
      </c>
      <c r="H200" s="557"/>
      <c r="J200" s="189"/>
      <c r="K200" s="189"/>
      <c r="L200" s="189"/>
      <c r="M200" s="189"/>
      <c r="N200" s="189"/>
      <c r="O200" s="189"/>
    </row>
    <row r="201" spans="1:15" s="192" customFormat="1" ht="15" x14ac:dyDescent="0.25">
      <c r="B201" s="555"/>
      <c r="C201" s="382"/>
      <c r="D201" s="382"/>
      <c r="E201" s="382"/>
      <c r="F201" s="348"/>
      <c r="G201" s="556"/>
      <c r="H201" s="565"/>
      <c r="J201" s="189"/>
      <c r="K201" s="189"/>
      <c r="L201" s="189"/>
      <c r="M201" s="189"/>
      <c r="N201" s="189"/>
      <c r="O201" s="189"/>
    </row>
    <row r="202" spans="1:15" s="192" customFormat="1" ht="15" x14ac:dyDescent="0.2">
      <c r="B202" s="505"/>
      <c r="C202" s="506"/>
      <c r="D202" s="506"/>
      <c r="E202" s="506" t="s">
        <v>570</v>
      </c>
      <c r="F202" s="506"/>
      <c r="G202" s="506">
        <f>G200+G195+G188+G176+G169+G164+G156+G154+G150</f>
        <v>913.10833897355064</v>
      </c>
      <c r="H202" s="507"/>
      <c r="J202" s="189"/>
      <c r="K202" s="189"/>
      <c r="L202" s="189"/>
      <c r="M202" s="189"/>
      <c r="N202" s="189"/>
      <c r="O202" s="189"/>
    </row>
    <row r="203" spans="1:15" ht="15" x14ac:dyDescent="0.2">
      <c r="A203" s="189"/>
      <c r="B203" s="562"/>
      <c r="C203" s="563"/>
      <c r="D203" s="563"/>
      <c r="E203" s="563"/>
      <c r="F203" s="563"/>
      <c r="G203" s="563"/>
      <c r="H203" s="564"/>
      <c r="I203" s="189"/>
    </row>
    <row r="204" spans="1:15" s="192" customFormat="1" ht="15" x14ac:dyDescent="0.2">
      <c r="B204" s="418" t="s">
        <v>677</v>
      </c>
      <c r="C204" s="161" t="s">
        <v>678</v>
      </c>
      <c r="D204" s="160"/>
      <c r="E204" s="160"/>
      <c r="F204" s="160"/>
      <c r="G204" s="160"/>
      <c r="H204" s="419"/>
      <c r="J204" s="189"/>
      <c r="K204" s="189"/>
      <c r="L204" s="189"/>
      <c r="M204" s="189"/>
      <c r="N204" s="189"/>
      <c r="O204" s="189"/>
    </row>
    <row r="205" spans="1:15" s="192" customFormat="1" ht="15" x14ac:dyDescent="0.2">
      <c r="B205" s="284"/>
      <c r="C205" s="285"/>
      <c r="D205" s="286"/>
      <c r="E205" s="286"/>
      <c r="F205" s="286"/>
      <c r="G205" s="286"/>
      <c r="H205" s="287"/>
      <c r="J205" s="189"/>
      <c r="K205" s="189"/>
      <c r="L205" s="189"/>
      <c r="M205" s="189"/>
      <c r="N205" s="189"/>
      <c r="O205" s="189"/>
    </row>
    <row r="206" spans="1:15" s="192" customFormat="1" ht="15" x14ac:dyDescent="0.2">
      <c r="B206" s="577" t="s">
        <v>7</v>
      </c>
      <c r="C206" s="578" t="s">
        <v>8</v>
      </c>
      <c r="D206" s="579" t="s">
        <v>9</v>
      </c>
      <c r="E206" s="579" t="s">
        <v>10</v>
      </c>
      <c r="F206" s="579" t="s">
        <v>11</v>
      </c>
      <c r="G206" s="579" t="s">
        <v>12</v>
      </c>
      <c r="H206" s="580"/>
      <c r="J206" s="189"/>
      <c r="K206" s="189"/>
      <c r="L206" s="189"/>
      <c r="M206" s="189"/>
      <c r="N206" s="189"/>
      <c r="O206" s="189"/>
    </row>
    <row r="207" spans="1:15" s="192" customFormat="1" ht="15" x14ac:dyDescent="0.25">
      <c r="B207" s="497" t="s">
        <v>100</v>
      </c>
      <c r="C207" s="498" t="s">
        <v>610</v>
      </c>
      <c r="D207" s="499"/>
      <c r="E207" s="499"/>
      <c r="F207" s="499"/>
      <c r="G207" s="499"/>
      <c r="H207" s="500"/>
      <c r="J207" s="189"/>
      <c r="K207" s="189"/>
      <c r="L207" s="189"/>
      <c r="M207" s="189"/>
      <c r="N207" s="189"/>
      <c r="O207" s="189"/>
    </row>
    <row r="208" spans="1:15" s="192" customFormat="1" x14ac:dyDescent="0.2">
      <c r="B208" s="406" t="s">
        <v>703</v>
      </c>
      <c r="C208" s="192" t="s">
        <v>680</v>
      </c>
      <c r="D208" s="193" t="s">
        <v>4</v>
      </c>
      <c r="E208" s="576">
        <f>'2. DADOS DE ENTRADA'!H232+'2. DADOS DE ENTRADA'!KJ233</f>
        <v>0.02</v>
      </c>
      <c r="F208" s="381">
        <f>'3. PREÇOS UNITÁRIOS'!D70</f>
        <v>8.3333333333333339</v>
      </c>
      <c r="G208" s="381">
        <f t="shared" ref="G208:G209" si="9">E208*F208</f>
        <v>0.16666666666666669</v>
      </c>
      <c r="H208" s="350"/>
      <c r="J208" s="189"/>
      <c r="K208" s="189"/>
      <c r="L208" s="189"/>
      <c r="M208" s="189"/>
      <c r="N208" s="189"/>
      <c r="O208" s="189"/>
    </row>
    <row r="209" spans="2:15" s="192" customFormat="1" ht="42.75" x14ac:dyDescent="0.2">
      <c r="B209" s="406" t="s">
        <v>704</v>
      </c>
      <c r="C209" s="214" t="s">
        <v>735</v>
      </c>
      <c r="D209" s="203" t="s">
        <v>681</v>
      </c>
      <c r="E209" s="203">
        <f>E208</f>
        <v>0.02</v>
      </c>
      <c r="F209" s="384">
        <f>'3. PREÇOS UNITÁRIOS'!D71</f>
        <v>69.900000000000006</v>
      </c>
      <c r="G209" s="384">
        <f t="shared" si="9"/>
        <v>1.3980000000000001</v>
      </c>
      <c r="H209" s="350"/>
      <c r="J209" s="189"/>
      <c r="K209" s="189"/>
      <c r="L209" s="189"/>
      <c r="M209" s="189"/>
      <c r="N209" s="189"/>
      <c r="O209" s="189"/>
    </row>
    <row r="210" spans="2:15" s="192" customFormat="1" ht="15" x14ac:dyDescent="0.25">
      <c r="B210" s="541"/>
      <c r="C210" s="537"/>
      <c r="D210" s="537"/>
      <c r="E210" s="537"/>
      <c r="F210" s="530" t="s">
        <v>36</v>
      </c>
      <c r="G210" s="526">
        <f>SUM(G208:G209)</f>
        <v>1.5646666666666669</v>
      </c>
      <c r="H210" s="538"/>
      <c r="J210" s="189"/>
      <c r="K210" s="189"/>
      <c r="L210" s="189"/>
      <c r="M210" s="189"/>
      <c r="N210" s="189"/>
      <c r="O210" s="189"/>
    </row>
    <row r="211" spans="2:15" s="192" customFormat="1" ht="15" x14ac:dyDescent="0.2">
      <c r="B211" s="448"/>
      <c r="C211" s="441"/>
      <c r="D211" s="441"/>
      <c r="E211" s="441" t="s">
        <v>726</v>
      </c>
      <c r="F211" s="441"/>
      <c r="G211" s="441">
        <f>G210</f>
        <v>1.5646666666666669</v>
      </c>
      <c r="H211" s="504"/>
      <c r="J211" s="189"/>
      <c r="K211" s="189"/>
      <c r="L211" s="189"/>
      <c r="M211" s="189"/>
      <c r="N211" s="189"/>
      <c r="O211" s="189"/>
    </row>
    <row r="212" spans="2:15" s="192" customFormat="1" ht="15" x14ac:dyDescent="0.25">
      <c r="B212" s="555"/>
      <c r="C212" s="382"/>
      <c r="D212" s="382"/>
      <c r="E212" s="382"/>
      <c r="F212" s="348"/>
      <c r="G212" s="556"/>
      <c r="H212" s="565"/>
      <c r="J212" s="189"/>
      <c r="K212" s="189"/>
      <c r="L212" s="189"/>
      <c r="M212" s="189"/>
      <c r="N212" s="189"/>
      <c r="O212" s="189"/>
    </row>
    <row r="213" spans="2:15" s="192" customFormat="1" ht="15" x14ac:dyDescent="0.2">
      <c r="B213" s="478" t="s">
        <v>537</v>
      </c>
      <c r="C213" s="479" t="s">
        <v>534</v>
      </c>
      <c r="D213" s="480"/>
      <c r="E213" s="480"/>
      <c r="F213" s="480"/>
      <c r="G213" s="480"/>
      <c r="H213" s="481"/>
      <c r="J213" s="189"/>
      <c r="K213" s="189"/>
      <c r="L213" s="189"/>
      <c r="M213" s="189"/>
      <c r="N213" s="189"/>
      <c r="O213" s="189"/>
    </row>
    <row r="214" spans="2:15" s="192" customFormat="1" x14ac:dyDescent="0.2">
      <c r="B214" s="758" t="s">
        <v>103</v>
      </c>
      <c r="C214" s="759" t="s">
        <v>34</v>
      </c>
      <c r="D214" s="760"/>
      <c r="E214" s="759"/>
      <c r="F214" s="759"/>
      <c r="G214" s="759"/>
      <c r="H214" s="761">
        <f>G43</f>
        <v>22.923874494869057</v>
      </c>
      <c r="J214" s="189"/>
      <c r="K214" s="189"/>
      <c r="L214" s="189"/>
      <c r="M214" s="189"/>
      <c r="N214" s="189"/>
      <c r="O214" s="189"/>
    </row>
    <row r="215" spans="2:15" s="192" customFormat="1" x14ac:dyDescent="0.2">
      <c r="B215" s="758" t="s">
        <v>708</v>
      </c>
      <c r="C215" s="759" t="s">
        <v>37</v>
      </c>
      <c r="D215" s="760"/>
      <c r="E215" s="759"/>
      <c r="F215" s="759"/>
      <c r="G215" s="759"/>
      <c r="H215" s="761">
        <f>G81</f>
        <v>411.76660355624801</v>
      </c>
      <c r="J215" s="189"/>
      <c r="K215" s="189"/>
      <c r="L215" s="189"/>
      <c r="M215" s="189"/>
      <c r="N215" s="189"/>
      <c r="O215" s="189"/>
    </row>
    <row r="216" spans="2:15" s="192" customFormat="1" x14ac:dyDescent="0.2">
      <c r="B216" s="758" t="s">
        <v>709</v>
      </c>
      <c r="C216" s="759" t="s">
        <v>724</v>
      </c>
      <c r="D216" s="760"/>
      <c r="E216" s="759"/>
      <c r="F216" s="759"/>
      <c r="G216" s="759"/>
      <c r="H216" s="761">
        <f>G119</f>
        <v>27.088352481666664</v>
      </c>
      <c r="J216" s="189"/>
      <c r="K216" s="189"/>
      <c r="L216" s="189"/>
      <c r="M216" s="189"/>
      <c r="N216" s="189"/>
      <c r="O216" s="189"/>
    </row>
    <row r="217" spans="2:15" s="192" customFormat="1" x14ac:dyDescent="0.2">
      <c r="B217" s="758" t="s">
        <v>710</v>
      </c>
      <c r="C217" s="759" t="s">
        <v>536</v>
      </c>
      <c r="D217" s="760"/>
      <c r="E217" s="759"/>
      <c r="F217" s="759"/>
      <c r="G217" s="759"/>
      <c r="H217" s="761">
        <f>G202</f>
        <v>913.10833897355064</v>
      </c>
      <c r="J217" s="189"/>
      <c r="K217" s="189"/>
      <c r="L217" s="189"/>
      <c r="M217" s="189"/>
      <c r="N217" s="189"/>
      <c r="O217" s="189"/>
    </row>
    <row r="218" spans="2:15" s="192" customFormat="1" x14ac:dyDescent="0.2">
      <c r="B218" s="758" t="s">
        <v>729</v>
      </c>
      <c r="C218" s="759" t="s">
        <v>759</v>
      </c>
      <c r="D218" s="760"/>
      <c r="E218" s="759"/>
      <c r="F218" s="759"/>
      <c r="G218" s="759"/>
      <c r="H218" s="761">
        <f>G211</f>
        <v>1.5646666666666669</v>
      </c>
      <c r="J218" s="189"/>
      <c r="K218" s="189"/>
      <c r="L218" s="189"/>
      <c r="M218" s="189"/>
      <c r="N218" s="189"/>
      <c r="O218" s="189"/>
    </row>
    <row r="219" spans="2:15" s="192" customFormat="1" ht="15" x14ac:dyDescent="0.2">
      <c r="B219" s="515"/>
      <c r="C219" s="516" t="s">
        <v>535</v>
      </c>
      <c r="D219" s="516"/>
      <c r="E219" s="516"/>
      <c r="F219" s="516"/>
      <c r="G219" s="506"/>
      <c r="H219" s="507">
        <f>SUM(H214:H218)</f>
        <v>1376.4518361730011</v>
      </c>
      <c r="J219" s="189"/>
      <c r="K219" s="189"/>
      <c r="L219" s="189"/>
      <c r="M219" s="189"/>
      <c r="N219" s="189"/>
      <c r="O219" s="189"/>
    </row>
    <row r="220" spans="2:15" x14ac:dyDescent="0.2">
      <c r="B220" s="335"/>
      <c r="C220" s="192"/>
      <c r="D220" s="192"/>
      <c r="E220" s="192"/>
      <c r="F220" s="192"/>
      <c r="H220" s="334"/>
    </row>
    <row r="221" spans="2:15" s="192" customFormat="1" ht="15" x14ac:dyDescent="0.2">
      <c r="B221" s="478" t="s">
        <v>541</v>
      </c>
      <c r="C221" s="479" t="s">
        <v>538</v>
      </c>
      <c r="D221" s="480"/>
      <c r="E221" s="480"/>
      <c r="F221" s="480"/>
      <c r="G221" s="480"/>
      <c r="H221" s="481"/>
      <c r="J221" s="189"/>
      <c r="K221" s="189"/>
      <c r="L221" s="189"/>
      <c r="M221" s="189"/>
      <c r="N221" s="189"/>
      <c r="O221" s="189"/>
    </row>
    <row r="222" spans="2:15" s="192" customFormat="1" ht="15" x14ac:dyDescent="0.2">
      <c r="B222" s="284"/>
      <c r="C222" s="285"/>
      <c r="D222" s="286"/>
      <c r="E222" s="286"/>
      <c r="F222" s="286"/>
      <c r="G222" s="286"/>
      <c r="H222" s="287"/>
    </row>
    <row r="223" spans="2:15" s="192" customFormat="1" ht="15" x14ac:dyDescent="0.2">
      <c r="B223" s="420" t="s">
        <v>7</v>
      </c>
      <c r="C223" s="421" t="s">
        <v>8</v>
      </c>
      <c r="D223" s="422"/>
      <c r="E223" s="422"/>
      <c r="F223" s="422" t="s">
        <v>12</v>
      </c>
      <c r="G223" s="422"/>
      <c r="H223" s="423"/>
      <c r="J223" s="189"/>
      <c r="K223" s="189"/>
      <c r="L223" s="189"/>
      <c r="M223" s="189"/>
      <c r="N223" s="189"/>
      <c r="O223" s="189"/>
    </row>
    <row r="224" spans="2:15" s="192" customFormat="1" ht="15" x14ac:dyDescent="0.25">
      <c r="B224" s="517" t="s">
        <v>104</v>
      </c>
      <c r="C224" s="518" t="s">
        <v>539</v>
      </c>
      <c r="D224" s="519"/>
      <c r="E224" s="519"/>
      <c r="F224" s="520">
        <v>0</v>
      </c>
      <c r="G224" s="519"/>
      <c r="H224" s="521"/>
      <c r="J224" s="189"/>
      <c r="K224" s="189"/>
      <c r="L224" s="189"/>
      <c r="M224" s="189"/>
      <c r="N224" s="189"/>
      <c r="O224" s="189"/>
    </row>
    <row r="225" spans="2:15" s="192" customFormat="1" ht="15" x14ac:dyDescent="0.2">
      <c r="B225" s="501"/>
      <c r="C225" s="502" t="s">
        <v>540</v>
      </c>
      <c r="D225" s="502"/>
      <c r="E225" s="502"/>
      <c r="F225" s="441">
        <f>SUM(F224:F224)</f>
        <v>0</v>
      </c>
      <c r="G225" s="441"/>
      <c r="H225" s="504"/>
      <c r="J225" s="189"/>
      <c r="K225" s="189"/>
      <c r="L225" s="189"/>
      <c r="M225" s="189"/>
      <c r="N225" s="189"/>
      <c r="O225" s="189"/>
    </row>
    <row r="226" spans="2:15" s="192" customFormat="1" x14ac:dyDescent="0.2">
      <c r="B226" s="335"/>
      <c r="C226" s="189"/>
      <c r="D226" s="193"/>
      <c r="E226" s="189"/>
      <c r="F226" s="477"/>
      <c r="H226" s="334"/>
      <c r="J226" s="189"/>
      <c r="K226" s="189"/>
      <c r="L226" s="189"/>
      <c r="M226" s="189"/>
      <c r="N226" s="189"/>
      <c r="O226" s="189"/>
    </row>
    <row r="227" spans="2:15" s="192" customFormat="1" ht="15" x14ac:dyDescent="0.2">
      <c r="B227" s="515"/>
      <c r="C227" s="516" t="s">
        <v>567</v>
      </c>
      <c r="D227" s="516"/>
      <c r="E227" s="516"/>
      <c r="F227" s="506">
        <f>F225+H219</f>
        <v>1376.4518361730011</v>
      </c>
      <c r="G227" s="506"/>
      <c r="H227" s="507"/>
      <c r="J227" s="189"/>
      <c r="K227" s="189"/>
      <c r="L227" s="189"/>
      <c r="M227" s="189"/>
      <c r="N227" s="189"/>
      <c r="O227" s="189"/>
    </row>
    <row r="228" spans="2:15" s="192" customFormat="1" x14ac:dyDescent="0.2">
      <c r="B228" s="335"/>
      <c r="C228" s="189"/>
      <c r="D228" s="193"/>
      <c r="E228" s="189"/>
      <c r="F228" s="189"/>
      <c r="H228" s="334"/>
      <c r="J228" s="189"/>
      <c r="K228" s="189"/>
      <c r="L228" s="189"/>
      <c r="M228" s="189"/>
      <c r="N228" s="189"/>
      <c r="O228" s="189"/>
    </row>
    <row r="229" spans="2:15" s="192" customFormat="1" ht="15" x14ac:dyDescent="0.2">
      <c r="B229" s="478" t="s">
        <v>711</v>
      </c>
      <c r="C229" s="479" t="s">
        <v>542</v>
      </c>
      <c r="D229" s="480"/>
      <c r="E229" s="480"/>
      <c r="F229" s="480"/>
      <c r="G229" s="581"/>
      <c r="H229" s="582"/>
      <c r="J229" s="189"/>
      <c r="K229" s="189"/>
      <c r="L229" s="189"/>
      <c r="M229" s="189"/>
      <c r="N229" s="189"/>
      <c r="O229" s="189"/>
    </row>
    <row r="230" spans="2:15" s="192" customFormat="1" ht="15" x14ac:dyDescent="0.25">
      <c r="B230" s="517" t="s">
        <v>7</v>
      </c>
      <c r="C230" s="518" t="s">
        <v>8</v>
      </c>
      <c r="D230" s="519" t="s">
        <v>9</v>
      </c>
      <c r="E230" s="519" t="s">
        <v>69</v>
      </c>
      <c r="F230" s="522" t="s">
        <v>12</v>
      </c>
      <c r="H230" s="334"/>
      <c r="J230" s="189"/>
      <c r="K230" s="189"/>
      <c r="L230" s="189"/>
      <c r="M230" s="189"/>
      <c r="N230" s="189"/>
      <c r="O230" s="189"/>
    </row>
    <row r="231" spans="2:15" s="192" customFormat="1" x14ac:dyDescent="0.2">
      <c r="B231" s="408" t="s">
        <v>273</v>
      </c>
      <c r="C231" s="409" t="s">
        <v>543</v>
      </c>
      <c r="D231" s="193" t="s">
        <v>1</v>
      </c>
      <c r="E231" s="410">
        <v>4.93</v>
      </c>
      <c r="F231" s="558"/>
      <c r="H231" s="334"/>
      <c r="J231" s="189"/>
      <c r="K231" s="189"/>
      <c r="L231" s="189"/>
      <c r="M231" s="189"/>
      <c r="N231" s="189"/>
      <c r="O231" s="189"/>
    </row>
    <row r="232" spans="2:15" s="192" customFormat="1" x14ac:dyDescent="0.2">
      <c r="B232" s="408" t="s">
        <v>712</v>
      </c>
      <c r="C232" s="411" t="s">
        <v>545</v>
      </c>
      <c r="D232" s="193" t="s">
        <v>1</v>
      </c>
      <c r="E232" s="412">
        <v>0.99</v>
      </c>
      <c r="F232" s="558"/>
      <c r="H232" s="334"/>
      <c r="J232" s="189"/>
      <c r="K232" s="189"/>
      <c r="L232" s="189"/>
      <c r="M232" s="189"/>
      <c r="N232" s="189"/>
      <c r="O232" s="189"/>
    </row>
    <row r="233" spans="2:15" s="192" customFormat="1" x14ac:dyDescent="0.2">
      <c r="B233" s="408" t="s">
        <v>713</v>
      </c>
      <c r="C233" s="411" t="s">
        <v>547</v>
      </c>
      <c r="D233" s="193" t="s">
        <v>1</v>
      </c>
      <c r="E233" s="412">
        <f>SUM(E234:E235)</f>
        <v>1.88</v>
      </c>
      <c r="F233" s="558"/>
      <c r="H233" s="334"/>
      <c r="J233" s="189"/>
      <c r="K233" s="189"/>
      <c r="L233" s="189"/>
      <c r="M233" s="189"/>
      <c r="N233" s="189"/>
      <c r="O233" s="189"/>
    </row>
    <row r="234" spans="2:15" s="192" customFormat="1" x14ac:dyDescent="0.2">
      <c r="B234" s="408" t="s">
        <v>714</v>
      </c>
      <c r="C234" s="411" t="s">
        <v>568</v>
      </c>
      <c r="D234" s="193" t="s">
        <v>1</v>
      </c>
      <c r="E234" s="412">
        <v>0.49</v>
      </c>
      <c r="F234" s="558"/>
      <c r="H234" s="334"/>
      <c r="J234" s="189"/>
      <c r="K234" s="189"/>
      <c r="L234" s="189"/>
      <c r="M234" s="189"/>
      <c r="N234" s="189"/>
      <c r="O234" s="189"/>
    </row>
    <row r="235" spans="2:15" s="192" customFormat="1" x14ac:dyDescent="0.2">
      <c r="B235" s="408" t="s">
        <v>715</v>
      </c>
      <c r="C235" s="411" t="s">
        <v>551</v>
      </c>
      <c r="D235" s="193" t="s">
        <v>1</v>
      </c>
      <c r="E235" s="412">
        <v>1.39</v>
      </c>
      <c r="F235" s="558"/>
      <c r="H235" s="334"/>
      <c r="J235" s="189"/>
      <c r="K235" s="189"/>
      <c r="L235" s="189"/>
      <c r="M235" s="189"/>
      <c r="N235" s="189"/>
      <c r="O235" s="189"/>
    </row>
    <row r="236" spans="2:15" s="192" customFormat="1" x14ac:dyDescent="0.2">
      <c r="B236" s="408" t="s">
        <v>716</v>
      </c>
      <c r="C236" s="411" t="s">
        <v>553</v>
      </c>
      <c r="D236" s="193" t="s">
        <v>1</v>
      </c>
      <c r="E236" s="412">
        <f>SUM(E237:E239)</f>
        <v>6.65</v>
      </c>
      <c r="F236" s="558"/>
      <c r="H236" s="334"/>
      <c r="J236" s="189"/>
      <c r="K236" s="189"/>
      <c r="L236" s="189"/>
      <c r="M236" s="189"/>
      <c r="N236" s="189"/>
      <c r="O236" s="189"/>
    </row>
    <row r="237" spans="2:15" s="192" customFormat="1" x14ac:dyDescent="0.2">
      <c r="B237" s="408" t="s">
        <v>717</v>
      </c>
      <c r="C237" s="411" t="s">
        <v>555</v>
      </c>
      <c r="D237" s="193" t="s">
        <v>1</v>
      </c>
      <c r="E237" s="412">
        <v>3</v>
      </c>
      <c r="F237" s="558"/>
      <c r="H237" s="334"/>
      <c r="J237" s="189"/>
      <c r="K237" s="189"/>
      <c r="L237" s="189"/>
      <c r="M237" s="189"/>
      <c r="N237" s="189"/>
      <c r="O237" s="189"/>
    </row>
    <row r="238" spans="2:15" s="192" customFormat="1" x14ac:dyDescent="0.2">
      <c r="B238" s="408" t="s">
        <v>718</v>
      </c>
      <c r="C238" s="411" t="s">
        <v>557</v>
      </c>
      <c r="D238" s="193" t="s">
        <v>1</v>
      </c>
      <c r="E238" s="412">
        <v>0.65</v>
      </c>
      <c r="F238" s="558"/>
      <c r="H238" s="334"/>
      <c r="J238" s="189"/>
      <c r="K238" s="189"/>
      <c r="L238" s="189"/>
      <c r="M238" s="189"/>
      <c r="N238" s="189"/>
      <c r="O238" s="189"/>
    </row>
    <row r="239" spans="2:15" s="192" customFormat="1" x14ac:dyDescent="0.2">
      <c r="B239" s="408" t="s">
        <v>719</v>
      </c>
      <c r="C239" s="411" t="s">
        <v>559</v>
      </c>
      <c r="D239" s="193" t="s">
        <v>1</v>
      </c>
      <c r="E239" s="412">
        <v>3</v>
      </c>
      <c r="F239" s="558"/>
      <c r="H239" s="334"/>
      <c r="J239" s="189"/>
      <c r="K239" s="189"/>
      <c r="L239" s="189"/>
      <c r="M239" s="189"/>
      <c r="N239" s="189"/>
      <c r="O239" s="189"/>
    </row>
    <row r="240" spans="2:15" s="192" customFormat="1" x14ac:dyDescent="0.2">
      <c r="B240" s="408" t="s">
        <v>720</v>
      </c>
      <c r="C240" s="411" t="s">
        <v>561</v>
      </c>
      <c r="D240" s="193" t="s">
        <v>1</v>
      </c>
      <c r="E240" s="412">
        <v>8.0399999999999991</v>
      </c>
      <c r="F240" s="558"/>
      <c r="H240" s="334"/>
      <c r="J240" s="189"/>
      <c r="K240" s="189"/>
      <c r="L240" s="189"/>
      <c r="M240" s="189"/>
      <c r="N240" s="189"/>
      <c r="O240" s="189"/>
    </row>
    <row r="241" spans="1:15" s="192" customFormat="1" x14ac:dyDescent="0.2">
      <c r="B241" s="408" t="s">
        <v>721</v>
      </c>
      <c r="C241" s="411" t="s">
        <v>562</v>
      </c>
      <c r="D241" s="193" t="s">
        <v>1</v>
      </c>
      <c r="E241" s="412">
        <f>(((1+(E231+E233)/100)*(1+E232/100)*(1+E240/100)/(1-E236/100))-1)*100</f>
        <v>24.841949102945904</v>
      </c>
      <c r="F241" s="558"/>
      <c r="H241" s="334"/>
      <c r="J241" s="189"/>
      <c r="K241" s="189"/>
      <c r="L241" s="189"/>
      <c r="M241" s="189"/>
      <c r="N241" s="189"/>
      <c r="O241" s="189"/>
    </row>
    <row r="242" spans="1:15" s="192" customFormat="1" x14ac:dyDescent="0.2">
      <c r="B242" s="223"/>
      <c r="C242" s="559" t="s">
        <v>563</v>
      </c>
      <c r="D242" s="560"/>
      <c r="E242" s="218"/>
      <c r="F242" s="561">
        <f>F227*(E241/100)</f>
        <v>341.93746456866126</v>
      </c>
      <c r="H242" s="334"/>
      <c r="J242" s="189"/>
      <c r="K242" s="189"/>
      <c r="L242" s="189"/>
      <c r="M242" s="189"/>
      <c r="N242" s="189"/>
      <c r="O242" s="189"/>
    </row>
    <row r="243" spans="1:15" s="192" customFormat="1" x14ac:dyDescent="0.2">
      <c r="B243" s="335"/>
      <c r="C243" s="189"/>
      <c r="D243" s="193"/>
      <c r="E243" s="189"/>
      <c r="F243" s="189"/>
      <c r="H243" s="334"/>
      <c r="J243" s="189"/>
      <c r="K243" s="189"/>
      <c r="L243" s="189"/>
      <c r="M243" s="189"/>
      <c r="N243" s="189"/>
      <c r="O243" s="189"/>
    </row>
    <row r="244" spans="1:15" s="192" customFormat="1" ht="15" x14ac:dyDescent="0.2">
      <c r="A244" s="567"/>
      <c r="B244" s="418" t="s">
        <v>768</v>
      </c>
      <c r="C244" s="161" t="s">
        <v>801</v>
      </c>
      <c r="D244" s="160"/>
      <c r="E244" s="160"/>
      <c r="F244" s="160"/>
      <c r="G244" s="160"/>
      <c r="H244" s="419"/>
      <c r="J244" s="189"/>
      <c r="K244" s="189"/>
      <c r="L244" s="189"/>
      <c r="M244" s="189"/>
      <c r="N244" s="189"/>
      <c r="O244" s="189"/>
    </row>
    <row r="245" spans="1:15" s="192" customFormat="1" x14ac:dyDescent="0.2">
      <c r="A245" s="567"/>
      <c r="B245" s="335" t="s">
        <v>275</v>
      </c>
      <c r="C245" s="192" t="s">
        <v>800</v>
      </c>
      <c r="D245" s="193"/>
      <c r="E245" s="566"/>
      <c r="F245" s="381"/>
      <c r="G245" s="381"/>
      <c r="H245" s="350"/>
      <c r="J245" s="189"/>
      <c r="K245" s="189"/>
      <c r="L245" s="189"/>
      <c r="M245" s="189"/>
      <c r="N245" s="189"/>
      <c r="O245" s="189"/>
    </row>
    <row r="246" spans="1:15" s="192" customFormat="1" ht="15" x14ac:dyDescent="0.2">
      <c r="B246" s="448"/>
      <c r="C246" s="441"/>
      <c r="D246" s="441"/>
      <c r="E246" s="441" t="s">
        <v>726</v>
      </c>
      <c r="F246" s="441"/>
      <c r="G246" s="441"/>
      <c r="H246" s="504"/>
      <c r="J246" s="189"/>
      <c r="K246" s="189"/>
      <c r="L246" s="189"/>
      <c r="M246" s="189"/>
      <c r="N246" s="189"/>
      <c r="O246" s="189"/>
    </row>
    <row r="247" spans="1:15" s="192" customFormat="1" ht="15" thickBot="1" x14ac:dyDescent="0.25">
      <c r="B247" s="335"/>
      <c r="C247" s="189"/>
      <c r="D247" s="193"/>
      <c r="E247" s="189"/>
      <c r="F247" s="189"/>
      <c r="H247" s="334"/>
      <c r="J247" s="189"/>
      <c r="K247" s="189"/>
      <c r="L247" s="189"/>
      <c r="M247" s="189"/>
      <c r="N247" s="189"/>
      <c r="O247" s="189"/>
    </row>
    <row r="248" spans="1:15" s="192" customFormat="1" ht="15" x14ac:dyDescent="0.25">
      <c r="B248" s="335"/>
      <c r="C248" s="762" t="s">
        <v>564</v>
      </c>
      <c r="D248" s="747"/>
      <c r="E248" s="763"/>
      <c r="F248" s="764">
        <f>F227+F242+G246</f>
        <v>1718.3893007416623</v>
      </c>
      <c r="H248" s="334"/>
      <c r="I248" s="189"/>
      <c r="J248" s="189"/>
      <c r="K248" s="189"/>
      <c r="L248" s="189"/>
      <c r="M248" s="189"/>
      <c r="N248" s="189"/>
      <c r="O248" s="189"/>
    </row>
    <row r="249" spans="1:15" s="192" customFormat="1" ht="15" x14ac:dyDescent="0.25">
      <c r="B249" s="335"/>
      <c r="C249" s="765" t="s">
        <v>900</v>
      </c>
      <c r="D249" s="766"/>
      <c r="E249" s="767"/>
      <c r="F249" s="768">
        <v>4.05</v>
      </c>
      <c r="G249" s="776"/>
      <c r="J249" s="189"/>
      <c r="K249" s="189"/>
      <c r="L249" s="189"/>
      <c r="M249" s="189"/>
      <c r="N249" s="189"/>
      <c r="O249" s="189"/>
    </row>
    <row r="250" spans="1:15" s="192" customFormat="1" ht="15" x14ac:dyDescent="0.25">
      <c r="B250" s="189"/>
      <c r="C250" s="769" t="s">
        <v>607</v>
      </c>
      <c r="D250" s="770"/>
      <c r="E250" s="771"/>
      <c r="F250" s="772">
        <f>F248/F249</f>
        <v>424.29365450411416</v>
      </c>
      <c r="J250" s="189"/>
      <c r="K250" s="189"/>
      <c r="L250" s="189"/>
      <c r="M250" s="189"/>
      <c r="N250" s="189"/>
      <c r="O250" s="189"/>
    </row>
  </sheetData>
  <sheetProtection algorithmName="SHA-512" hashValue="PcrWCVRa4wkJW5OWwUTEGJlqTqYUIj3pPWNA5RIFWh+uC1Og6AKpva43RxqyY98V8uvS8YNwPG6vsrpjcc1wMw==" saltValue="DET10Q/w9D3fJFtuib4O6Q==" spinCount="100000" sheet="1" objects="1" scenarios="1"/>
  <mergeCells count="1">
    <mergeCell ref="B7:H7"/>
  </mergeCells>
  <printOptions horizontalCentered="1"/>
  <pageMargins left="0.23622047244094491" right="0.23622047244094491" top="0.35433070866141736" bottom="0.35433070866141736" header="0.31496062992125984" footer="0.31496062992125984"/>
  <pageSetup paperSize="9" firstPageNumber="0" fitToHeight="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J21"/>
  <sheetViews>
    <sheetView showGridLines="0" tabSelected="1" zoomScale="115" zoomScaleNormal="115" workbookViewId="0">
      <selection activeCell="D10" sqref="D10"/>
    </sheetView>
  </sheetViews>
  <sheetFormatPr defaultColWidth="0" defaultRowHeight="12.75" zeroHeight="1" x14ac:dyDescent="0.2"/>
  <cols>
    <col min="1" max="1" width="20.140625" customWidth="1"/>
    <col min="2" max="2" width="12.28515625" customWidth="1"/>
    <col min="3" max="3" width="12.7109375" bestFit="1" customWidth="1"/>
    <col min="4" max="4" width="11.7109375" customWidth="1"/>
    <col min="5" max="5" width="12.5703125" customWidth="1"/>
    <col min="6" max="6" width="14.140625" customWidth="1"/>
    <col min="7" max="7" width="13.28515625" customWidth="1"/>
    <col min="8" max="8" width="8.7109375" customWidth="1"/>
    <col min="9" max="9" width="25.5703125" hidden="1" customWidth="1"/>
    <col min="10" max="10" width="0" hidden="1" customWidth="1"/>
    <col min="11" max="16384" width="8.7109375" hidden="1"/>
  </cols>
  <sheetData>
    <row r="1" spans="1:10" x14ac:dyDescent="0.2"/>
    <row r="2" spans="1:10" x14ac:dyDescent="0.2"/>
    <row r="3" spans="1:10" x14ac:dyDescent="0.2"/>
    <row r="4" spans="1:10" x14ac:dyDescent="0.2">
      <c r="G4" t="s">
        <v>932</v>
      </c>
    </row>
    <row r="5" spans="1:10" x14ac:dyDescent="0.2">
      <c r="A5" s="2"/>
    </row>
    <row r="6" spans="1:10" ht="13.5" thickBot="1" x14ac:dyDescent="0.25">
      <c r="A6" s="2"/>
    </row>
    <row r="7" spans="1:10" ht="15.75" thickBot="1" x14ac:dyDescent="0.3">
      <c r="A7" s="829" t="s">
        <v>913</v>
      </c>
      <c r="B7" s="830"/>
      <c r="C7" s="830"/>
      <c r="D7" s="830"/>
      <c r="E7" s="830"/>
      <c r="F7" s="830"/>
      <c r="G7" s="831"/>
    </row>
    <row r="8" spans="1:10" ht="45" x14ac:dyDescent="0.2">
      <c r="A8" s="788" t="s">
        <v>136</v>
      </c>
      <c r="B8" s="789" t="s">
        <v>861</v>
      </c>
      <c r="C8" s="789" t="s">
        <v>862</v>
      </c>
      <c r="D8" s="789" t="s">
        <v>914</v>
      </c>
      <c r="E8" s="789" t="s">
        <v>993</v>
      </c>
      <c r="F8" s="789" t="s">
        <v>994</v>
      </c>
      <c r="G8" s="790" t="s">
        <v>135</v>
      </c>
    </row>
    <row r="9" spans="1:10" ht="15" x14ac:dyDescent="0.2">
      <c r="A9" s="589" t="s">
        <v>41</v>
      </c>
      <c r="B9" s="585">
        <v>76.5</v>
      </c>
      <c r="C9" s="585">
        <v>75</v>
      </c>
      <c r="D9" s="585">
        <v>67.95</v>
      </c>
      <c r="E9" s="585">
        <v>94.05</v>
      </c>
      <c r="F9" s="585">
        <v>95.44</v>
      </c>
      <c r="G9" s="586">
        <f t="shared" ref="G9:G19" si="0">AVERAGE(B9:F9)</f>
        <v>81.787999999999997</v>
      </c>
      <c r="I9" s="1"/>
    </row>
    <row r="10" spans="1:10" ht="15" x14ac:dyDescent="0.2">
      <c r="A10" s="589" t="s">
        <v>42</v>
      </c>
      <c r="B10" s="585">
        <v>30.5</v>
      </c>
      <c r="C10" s="585">
        <v>38</v>
      </c>
      <c r="D10" s="585">
        <v>30.5</v>
      </c>
      <c r="E10" s="585"/>
      <c r="F10" s="585">
        <v>42</v>
      </c>
      <c r="G10" s="586">
        <f t="shared" si="0"/>
        <v>35.25</v>
      </c>
      <c r="I10" s="1"/>
      <c r="J10" s="92"/>
    </row>
    <row r="11" spans="1:10" ht="15" x14ac:dyDescent="0.2">
      <c r="A11" s="589" t="s">
        <v>43</v>
      </c>
      <c r="B11" s="585">
        <v>80.17</v>
      </c>
      <c r="C11" s="585"/>
      <c r="D11" s="585"/>
      <c r="E11" s="585">
        <v>67.92</v>
      </c>
      <c r="F11" s="585">
        <v>64</v>
      </c>
      <c r="G11" s="586">
        <f t="shared" si="0"/>
        <v>70.696666666666673</v>
      </c>
      <c r="I11" s="1"/>
    </row>
    <row r="12" spans="1:10" ht="15" x14ac:dyDescent="0.2">
      <c r="A12" s="589" t="s">
        <v>46</v>
      </c>
      <c r="B12" s="585">
        <v>15.28</v>
      </c>
      <c r="C12" s="585"/>
      <c r="D12" s="585"/>
      <c r="E12" s="585">
        <v>12.9</v>
      </c>
      <c r="F12" s="585">
        <v>12.51</v>
      </c>
      <c r="G12" s="586">
        <f t="shared" si="0"/>
        <v>13.563333333333333</v>
      </c>
      <c r="I12" s="1"/>
    </row>
    <row r="13" spans="1:10" ht="15" x14ac:dyDescent="0.2">
      <c r="A13" s="589" t="s">
        <v>116</v>
      </c>
      <c r="B13" s="585">
        <v>4.2300000000000004</v>
      </c>
      <c r="C13" s="585"/>
      <c r="D13" s="585"/>
      <c r="E13" s="585">
        <v>11.3</v>
      </c>
      <c r="F13" s="585">
        <v>4.76</v>
      </c>
      <c r="G13" s="586">
        <f t="shared" si="0"/>
        <v>6.7633333333333328</v>
      </c>
      <c r="I13" s="1"/>
    </row>
    <row r="14" spans="1:10" ht="15" x14ac:dyDescent="0.2">
      <c r="A14" s="589" t="s">
        <v>117</v>
      </c>
      <c r="B14" s="585">
        <v>16.989999999999998</v>
      </c>
      <c r="C14" s="585">
        <v>35.229999999999997</v>
      </c>
      <c r="D14" s="585"/>
      <c r="E14" s="585">
        <v>18.59</v>
      </c>
      <c r="F14" s="585">
        <v>34.380000000000003</v>
      </c>
      <c r="G14" s="586">
        <f t="shared" si="0"/>
        <v>26.297499999999999</v>
      </c>
      <c r="I14" s="1"/>
    </row>
    <row r="15" spans="1:10" ht="15" x14ac:dyDescent="0.2">
      <c r="A15" s="589" t="s">
        <v>44</v>
      </c>
      <c r="B15" s="585">
        <v>19.02</v>
      </c>
      <c r="C15" s="585"/>
      <c r="D15" s="585"/>
      <c r="E15" s="585">
        <v>28.4</v>
      </c>
      <c r="F15" s="585">
        <v>21.92</v>
      </c>
      <c r="G15" s="586">
        <f t="shared" si="0"/>
        <v>23.113333333333333</v>
      </c>
      <c r="I15" s="1"/>
    </row>
    <row r="16" spans="1:10" ht="13.5" customHeight="1" x14ac:dyDescent="0.2">
      <c r="A16" s="589" t="s">
        <v>84</v>
      </c>
      <c r="B16" s="585">
        <v>94.06</v>
      </c>
      <c r="C16" s="585"/>
      <c r="D16" s="585"/>
      <c r="E16" s="585">
        <v>94.9</v>
      </c>
      <c r="F16" s="585">
        <v>105.11</v>
      </c>
      <c r="G16" s="586">
        <f t="shared" si="0"/>
        <v>98.023333333333326</v>
      </c>
      <c r="I16" s="1"/>
    </row>
    <row r="17" spans="1:9" ht="15" x14ac:dyDescent="0.2">
      <c r="A17" s="589" t="s">
        <v>114</v>
      </c>
      <c r="B17" s="585">
        <v>22.03</v>
      </c>
      <c r="C17" s="585">
        <v>23.72</v>
      </c>
      <c r="D17" s="585"/>
      <c r="E17" s="585">
        <v>49.4</v>
      </c>
      <c r="F17" s="585"/>
      <c r="G17" s="586">
        <f t="shared" si="0"/>
        <v>31.716666666666669</v>
      </c>
      <c r="I17" s="1"/>
    </row>
    <row r="18" spans="1:9" ht="15" x14ac:dyDescent="0.2">
      <c r="A18" s="589" t="s">
        <v>622</v>
      </c>
      <c r="B18" s="585">
        <v>13.24</v>
      </c>
      <c r="C18" s="585">
        <v>12.54</v>
      </c>
      <c r="D18" s="585"/>
      <c r="E18" s="585">
        <v>15.04</v>
      </c>
      <c r="F18" s="585">
        <v>16.11</v>
      </c>
      <c r="G18" s="586">
        <f t="shared" si="0"/>
        <v>14.2325</v>
      </c>
      <c r="I18" s="1"/>
    </row>
    <row r="19" spans="1:9" ht="12.6" customHeight="1" thickBot="1" x14ac:dyDescent="0.25">
      <c r="A19" s="590" t="s">
        <v>124</v>
      </c>
      <c r="B19" s="587">
        <v>5.3</v>
      </c>
      <c r="C19" s="587">
        <v>3.76</v>
      </c>
      <c r="D19" s="587"/>
      <c r="E19" s="587">
        <v>5.6</v>
      </c>
      <c r="F19" s="587">
        <v>3.64</v>
      </c>
      <c r="G19" s="588">
        <f t="shared" si="0"/>
        <v>4.5749999999999993</v>
      </c>
      <c r="I19" s="1"/>
    </row>
    <row r="20" spans="1:9" x14ac:dyDescent="0.2">
      <c r="A20" s="187"/>
      <c r="B20" s="187"/>
      <c r="C20" s="187"/>
      <c r="D20" s="187"/>
      <c r="E20" s="187"/>
      <c r="F20" s="187"/>
      <c r="G20" s="187"/>
      <c r="I20" s="1"/>
    </row>
    <row r="21" spans="1:9" hidden="1" x14ac:dyDescent="0.2">
      <c r="I21" s="1"/>
    </row>
  </sheetData>
  <mergeCells count="1">
    <mergeCell ref="A7:G7"/>
  </mergeCells>
  <printOptions horizontalCentered="1"/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K29"/>
  <sheetViews>
    <sheetView showGridLines="0" topLeftCell="A28" zoomScale="130" zoomScaleNormal="130" workbookViewId="0">
      <selection activeCell="B14" sqref="B14"/>
    </sheetView>
  </sheetViews>
  <sheetFormatPr defaultColWidth="0" defaultRowHeight="14.25" zeroHeight="1" x14ac:dyDescent="0.2"/>
  <cols>
    <col min="1" max="1" width="83" style="189" customWidth="1"/>
    <col min="2" max="2" width="19.140625" style="189" customWidth="1"/>
    <col min="3" max="3" width="8.85546875" style="189" customWidth="1"/>
    <col min="4" max="9" width="8.85546875" style="189" hidden="1" customWidth="1"/>
    <col min="10" max="10" width="17.28515625" style="189" hidden="1" customWidth="1"/>
    <col min="11" max="11" width="11.7109375" style="189" hidden="1" customWidth="1"/>
    <col min="12" max="16384" width="8.85546875" style="189" hidden="1"/>
  </cols>
  <sheetData>
    <row r="1" spans="1:2" x14ac:dyDescent="0.2"/>
    <row r="2" spans="1:2" x14ac:dyDescent="0.2"/>
    <row r="3" spans="1:2" x14ac:dyDescent="0.2"/>
    <row r="4" spans="1:2" x14ac:dyDescent="0.2"/>
    <row r="5" spans="1:2" x14ac:dyDescent="0.2"/>
    <row r="6" spans="1:2" x14ac:dyDescent="0.2"/>
    <row r="7" spans="1:2" ht="15" x14ac:dyDescent="0.25">
      <c r="A7" s="832" t="s">
        <v>629</v>
      </c>
      <c r="B7" s="833"/>
    </row>
    <row r="8" spans="1:2" ht="15" thickBot="1" x14ac:dyDescent="0.25"/>
    <row r="9" spans="1:2" ht="15" x14ac:dyDescent="0.25">
      <c r="A9" s="591" t="s">
        <v>915</v>
      </c>
      <c r="B9" s="592" t="s">
        <v>628</v>
      </c>
    </row>
    <row r="10" spans="1:2" ht="15" x14ac:dyDescent="0.25">
      <c r="A10" s="593" t="s">
        <v>916</v>
      </c>
      <c r="B10" s="594"/>
    </row>
    <row r="11" spans="1:2" x14ac:dyDescent="0.2">
      <c r="A11" s="188" t="s">
        <v>882</v>
      </c>
      <c r="B11" s="595">
        <v>2530</v>
      </c>
    </row>
    <row r="12" spans="1:2" x14ac:dyDescent="0.2">
      <c r="A12" s="188" t="s">
        <v>883</v>
      </c>
      <c r="B12" s="595">
        <v>1730</v>
      </c>
    </row>
    <row r="13" spans="1:2" x14ac:dyDescent="0.2">
      <c r="A13" s="188" t="s">
        <v>625</v>
      </c>
      <c r="B13" s="595">
        <v>1780</v>
      </c>
    </row>
    <row r="14" spans="1:2" x14ac:dyDescent="0.2">
      <c r="A14" s="188" t="s">
        <v>626</v>
      </c>
      <c r="B14" s="595">
        <v>1890</v>
      </c>
    </row>
    <row r="15" spans="1:2" ht="15.75" thickBot="1" x14ac:dyDescent="0.3">
      <c r="A15" s="596" t="s">
        <v>627</v>
      </c>
      <c r="B15" s="597">
        <f>(B14+B13+B12+B11)/4</f>
        <v>1982.5</v>
      </c>
    </row>
    <row r="16" spans="1:2" ht="15" thickBot="1" x14ac:dyDescent="0.25"/>
    <row r="17" spans="1:2" x14ac:dyDescent="0.2">
      <c r="A17" s="598" t="s">
        <v>863</v>
      </c>
      <c r="B17" s="599"/>
    </row>
    <row r="18" spans="1:2" ht="15.75" thickBot="1" x14ac:dyDescent="0.3">
      <c r="A18" s="600"/>
      <c r="B18" s="601">
        <v>0</v>
      </c>
    </row>
    <row r="19" spans="1:2" ht="15.75" thickBot="1" x14ac:dyDescent="0.3">
      <c r="A19" s="602" t="s">
        <v>917</v>
      </c>
      <c r="B19" s="602"/>
    </row>
    <row r="20" spans="1:2" x14ac:dyDescent="0.2">
      <c r="A20" s="603" t="s">
        <v>918</v>
      </c>
      <c r="B20" s="604"/>
    </row>
    <row r="21" spans="1:2" x14ac:dyDescent="0.2">
      <c r="A21" s="605" t="s">
        <v>921</v>
      </c>
      <c r="B21" s="606"/>
    </row>
    <row r="22" spans="1:2" ht="15.75" thickBot="1" x14ac:dyDescent="0.3">
      <c r="A22" s="607" t="s">
        <v>627</v>
      </c>
      <c r="B22" s="597">
        <f>(620+710)/2</f>
        <v>665</v>
      </c>
    </row>
    <row r="23" spans="1:2" ht="15" thickBot="1" x14ac:dyDescent="0.25">
      <c r="A23" s="608"/>
    </row>
    <row r="24" spans="1:2" x14ac:dyDescent="0.2">
      <c r="A24" s="609" t="s">
        <v>919</v>
      </c>
      <c r="B24" s="599"/>
    </row>
    <row r="25" spans="1:2" ht="15.75" thickBot="1" x14ac:dyDescent="0.3">
      <c r="A25" s="607" t="s">
        <v>995</v>
      </c>
      <c r="B25" s="597">
        <v>130</v>
      </c>
    </row>
    <row r="26" spans="1:2" ht="15" thickBot="1" x14ac:dyDescent="0.25">
      <c r="A26" s="608"/>
    </row>
    <row r="27" spans="1:2" x14ac:dyDescent="0.2">
      <c r="A27" s="609" t="s">
        <v>920</v>
      </c>
      <c r="B27" s="599"/>
    </row>
    <row r="28" spans="1:2" ht="15.75" thickBot="1" x14ac:dyDescent="0.3">
      <c r="A28" s="607" t="s">
        <v>996</v>
      </c>
      <c r="B28" s="597">
        <v>90</v>
      </c>
    </row>
    <row r="29" spans="1:2" x14ac:dyDescent="0.2"/>
  </sheetData>
  <mergeCells count="1">
    <mergeCell ref="A7:B7"/>
  </mergeCells>
  <printOptions horizontalCentered="1"/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M40"/>
  <sheetViews>
    <sheetView showGridLines="0" topLeftCell="A7" zoomScale="85" zoomScaleNormal="85" workbookViewId="0">
      <selection activeCell="H12" sqref="H12"/>
    </sheetView>
  </sheetViews>
  <sheetFormatPr defaultColWidth="0" defaultRowHeight="14.25" zeroHeight="1" x14ac:dyDescent="0.2"/>
  <cols>
    <col min="1" max="1" width="21.28515625" style="651" customWidth="1"/>
    <col min="2" max="2" width="32" style="189" customWidth="1"/>
    <col min="3" max="3" width="11.140625" style="193" customWidth="1"/>
    <col min="4" max="4" width="23.42578125" style="193" bestFit="1" customWidth="1"/>
    <col min="5" max="5" width="17.28515625" style="189" bestFit="1" customWidth="1"/>
    <col min="6" max="7" width="17.7109375" style="189" bestFit="1" customWidth="1"/>
    <col min="8" max="9" width="16.85546875" style="189" bestFit="1" customWidth="1"/>
    <col min="10" max="10" width="17.28515625" style="189" bestFit="1" customWidth="1"/>
    <col min="11" max="11" width="19.5703125" style="189" customWidth="1"/>
    <col min="12" max="13" width="14" style="189" hidden="1" customWidth="1"/>
    <col min="14" max="16384" width="8.7109375" style="189" hidden="1"/>
  </cols>
  <sheetData>
    <row r="1" spans="1:13" x14ac:dyDescent="0.2"/>
    <row r="2" spans="1:13" x14ac:dyDescent="0.2"/>
    <row r="3" spans="1:13" x14ac:dyDescent="0.2">
      <c r="F3" s="381"/>
      <c r="G3" s="381"/>
      <c r="H3" s="175"/>
      <c r="I3" s="381"/>
    </row>
    <row r="4" spans="1:13" x14ac:dyDescent="0.2">
      <c r="H4" s="175"/>
      <c r="I4" s="381"/>
    </row>
    <row r="5" spans="1:13" x14ac:dyDescent="0.2">
      <c r="F5" s="381"/>
      <c r="G5" s="381"/>
      <c r="H5" s="175"/>
      <c r="I5" s="381"/>
    </row>
    <row r="6" spans="1:13" ht="15" thickBot="1" x14ac:dyDescent="0.25">
      <c r="F6" s="381"/>
      <c r="G6" s="381"/>
      <c r="H6" s="175"/>
      <c r="I6" s="381"/>
    </row>
    <row r="7" spans="1:13" ht="15" x14ac:dyDescent="0.25">
      <c r="A7" s="652"/>
      <c r="B7" s="653"/>
      <c r="C7" s="654"/>
      <c r="D7" s="836" t="s">
        <v>912</v>
      </c>
      <c r="E7" s="836"/>
      <c r="F7" s="836"/>
      <c r="G7" s="836"/>
      <c r="H7" s="655"/>
      <c r="I7" s="653"/>
      <c r="J7" s="653"/>
      <c r="K7" s="656"/>
    </row>
    <row r="8" spans="1:13" ht="15" x14ac:dyDescent="0.25">
      <c r="A8" s="844" t="s">
        <v>409</v>
      </c>
      <c r="B8" s="845"/>
      <c r="C8" s="845"/>
      <c r="D8" s="845"/>
      <c r="E8" s="845"/>
      <c r="F8" s="845"/>
      <c r="G8" s="845"/>
      <c r="H8" s="139"/>
      <c r="I8" s="139"/>
      <c r="J8" s="139"/>
      <c r="K8" s="610"/>
    </row>
    <row r="9" spans="1:13" ht="15" x14ac:dyDescent="0.25">
      <c r="A9" s="611" t="s">
        <v>519</v>
      </c>
      <c r="B9" s="846" t="s">
        <v>518</v>
      </c>
      <c r="C9" s="846"/>
      <c r="D9" s="657" t="s">
        <v>525</v>
      </c>
      <c r="E9" s="657" t="s">
        <v>494</v>
      </c>
      <c r="F9" s="657" t="s">
        <v>928</v>
      </c>
      <c r="G9" s="657" t="s">
        <v>829</v>
      </c>
      <c r="H9" s="657" t="s">
        <v>927</v>
      </c>
      <c r="I9" s="657" t="s">
        <v>828</v>
      </c>
      <c r="J9" s="657" t="s">
        <v>828</v>
      </c>
      <c r="K9" s="658" t="s">
        <v>830</v>
      </c>
    </row>
    <row r="10" spans="1:13" ht="28.5" x14ac:dyDescent="0.2">
      <c r="A10" s="613" t="s">
        <v>138</v>
      </c>
      <c r="B10" s="229" t="s">
        <v>865</v>
      </c>
      <c r="C10" s="614">
        <v>2014</v>
      </c>
      <c r="D10" s="615">
        <f>E10</f>
        <v>234125</v>
      </c>
      <c r="E10" s="616">
        <v>234125</v>
      </c>
      <c r="F10" s="617"/>
      <c r="G10" s="617"/>
      <c r="H10" s="617"/>
      <c r="I10" s="617"/>
      <c r="J10" s="616"/>
      <c r="K10" s="618">
        <f>AVERAGE(E10:J10)</f>
        <v>234125</v>
      </c>
      <c r="L10" s="382"/>
    </row>
    <row r="11" spans="1:13" ht="28.5" x14ac:dyDescent="0.2">
      <c r="A11" s="619" t="s">
        <v>516</v>
      </c>
      <c r="B11" s="620" t="s">
        <v>572</v>
      </c>
      <c r="C11" s="206" t="s">
        <v>512</v>
      </c>
      <c r="D11" s="621">
        <f>(K11-(K11*$C$38))</f>
        <v>81966.28</v>
      </c>
      <c r="E11" s="617"/>
      <c r="F11" s="616"/>
      <c r="G11" s="616">
        <v>232000</v>
      </c>
      <c r="H11" s="616">
        <v>239200</v>
      </c>
      <c r="I11" s="616">
        <v>235000</v>
      </c>
      <c r="J11" s="616"/>
      <c r="K11" s="618">
        <f>AVERAGE(E11:J11)</f>
        <v>235400</v>
      </c>
      <c r="L11" s="381"/>
      <c r="M11" s="381"/>
    </row>
    <row r="12" spans="1:13" ht="28.5" x14ac:dyDescent="0.2">
      <c r="A12" s="619" t="s">
        <v>517</v>
      </c>
      <c r="B12" s="620" t="s">
        <v>497</v>
      </c>
      <c r="C12" s="206" t="s">
        <v>449</v>
      </c>
      <c r="D12" s="621">
        <f>(K12-(K12*$C$38))</f>
        <v>6650.619999999999</v>
      </c>
      <c r="E12" s="617"/>
      <c r="F12" s="226"/>
      <c r="G12" s="616">
        <v>21000</v>
      </c>
      <c r="H12" s="616">
        <v>17200</v>
      </c>
      <c r="I12" s="617"/>
      <c r="J12" s="616"/>
      <c r="K12" s="618">
        <f>AVERAGE(G12:J12)</f>
        <v>19100</v>
      </c>
      <c r="L12" s="381"/>
      <c r="M12" s="381"/>
    </row>
    <row r="13" spans="1:13" x14ac:dyDescent="0.2">
      <c r="A13" s="613" t="s">
        <v>520</v>
      </c>
      <c r="B13" s="622" t="s">
        <v>524</v>
      </c>
      <c r="C13" s="227" t="s">
        <v>507</v>
      </c>
      <c r="D13" s="623">
        <f>K13</f>
        <v>1800.25</v>
      </c>
      <c r="E13" s="616"/>
      <c r="F13" s="226"/>
      <c r="G13" s="617"/>
      <c r="H13" s="617"/>
      <c r="I13" s="617"/>
      <c r="J13" s="616">
        <v>1800.25</v>
      </c>
      <c r="K13" s="618">
        <f t="shared" ref="K13" si="0">AVERAGE(E13:J13)</f>
        <v>1800.25</v>
      </c>
    </row>
    <row r="14" spans="1:13" x14ac:dyDescent="0.2">
      <c r="A14" s="624"/>
      <c r="B14" s="625"/>
      <c r="E14" s="384"/>
      <c r="F14" s="626"/>
      <c r="G14" s="381"/>
      <c r="H14" s="384"/>
      <c r="I14" s="625"/>
      <c r="K14" s="606"/>
    </row>
    <row r="15" spans="1:13" ht="15" x14ac:dyDescent="0.25">
      <c r="A15" s="844" t="s">
        <v>522</v>
      </c>
      <c r="B15" s="845"/>
      <c r="C15" s="845"/>
      <c r="D15" s="845"/>
      <c r="E15" s="845"/>
      <c r="F15" s="845"/>
      <c r="G15" s="845"/>
      <c r="H15" s="139"/>
      <c r="I15" s="139"/>
      <c r="J15" s="139"/>
      <c r="K15" s="627"/>
    </row>
    <row r="16" spans="1:13" ht="15" x14ac:dyDescent="0.25">
      <c r="A16" s="628" t="s">
        <v>519</v>
      </c>
      <c r="B16" s="846" t="s">
        <v>518</v>
      </c>
      <c r="C16" s="846"/>
      <c r="D16" s="657"/>
      <c r="E16" s="657" t="s">
        <v>494</v>
      </c>
      <c r="F16" s="657" t="s">
        <v>928</v>
      </c>
      <c r="G16" s="657" t="s">
        <v>829</v>
      </c>
      <c r="H16" s="657" t="s">
        <v>927</v>
      </c>
      <c r="I16" s="657" t="s">
        <v>828</v>
      </c>
      <c r="J16" s="657" t="s">
        <v>828</v>
      </c>
      <c r="K16" s="658" t="s">
        <v>830</v>
      </c>
    </row>
    <row r="17" spans="1:12" ht="28.5" x14ac:dyDescent="0.2">
      <c r="A17" s="613" t="s">
        <v>138</v>
      </c>
      <c r="B17" s="229" t="s">
        <v>866</v>
      </c>
      <c r="C17" s="614">
        <v>2014</v>
      </c>
      <c r="D17" s="615">
        <f>E17</f>
        <v>234125</v>
      </c>
      <c r="E17" s="616">
        <f>E10</f>
        <v>234125</v>
      </c>
      <c r="F17" s="617"/>
      <c r="G17" s="617"/>
      <c r="H17" s="617"/>
      <c r="I17" s="617"/>
      <c r="J17" s="629"/>
      <c r="K17" s="617">
        <f>AVERAGE(E17:J17)</f>
        <v>234125</v>
      </c>
    </row>
    <row r="18" spans="1:12" ht="28.5" x14ac:dyDescent="0.2">
      <c r="A18" s="619" t="s">
        <v>516</v>
      </c>
      <c r="B18" s="620" t="s">
        <v>572</v>
      </c>
      <c r="C18" s="206" t="s">
        <v>512</v>
      </c>
      <c r="D18" s="621">
        <f>D11</f>
        <v>81966.28</v>
      </c>
      <c r="E18" s="617"/>
      <c r="F18" s="616"/>
      <c r="G18" s="616">
        <v>232000</v>
      </c>
      <c r="H18" s="616">
        <v>239200</v>
      </c>
      <c r="I18" s="616">
        <v>235000</v>
      </c>
      <c r="J18" s="629"/>
      <c r="K18" s="617">
        <f>AVERAGE(F18:J18)</f>
        <v>235400</v>
      </c>
    </row>
    <row r="19" spans="1:12" ht="28.5" x14ac:dyDescent="0.2">
      <c r="A19" s="619" t="s">
        <v>517</v>
      </c>
      <c r="B19" s="620" t="s">
        <v>497</v>
      </c>
      <c r="C19" s="206" t="s">
        <v>449</v>
      </c>
      <c r="D19" s="621">
        <f>(K19-(K19*$C$38))</f>
        <v>6650.619999999999</v>
      </c>
      <c r="E19" s="617"/>
      <c r="F19" s="226"/>
      <c r="G19" s="616">
        <v>21000</v>
      </c>
      <c r="H19" s="616">
        <v>17200</v>
      </c>
      <c r="I19" s="617"/>
      <c r="J19" s="629"/>
      <c r="K19" s="617">
        <f>AVERAGE(F19:J19)</f>
        <v>19100</v>
      </c>
    </row>
    <row r="20" spans="1:12" x14ac:dyDescent="0.2">
      <c r="A20" s="624"/>
      <c r="E20" s="384"/>
      <c r="F20" s="626"/>
      <c r="G20" s="381"/>
      <c r="H20" s="834"/>
      <c r="I20" s="834"/>
      <c r="J20" s="834"/>
      <c r="K20" s="835"/>
    </row>
    <row r="21" spans="1:12" ht="15" x14ac:dyDescent="0.25">
      <c r="A21" s="844" t="s">
        <v>798</v>
      </c>
      <c r="B21" s="845"/>
      <c r="C21" s="845"/>
      <c r="D21" s="845"/>
      <c r="E21" s="845"/>
      <c r="F21" s="845"/>
      <c r="G21" s="845"/>
      <c r="H21" s="139"/>
      <c r="I21" s="139"/>
      <c r="J21" s="139"/>
      <c r="K21" s="610"/>
    </row>
    <row r="22" spans="1:12" ht="15" x14ac:dyDescent="0.25">
      <c r="A22" s="844" t="s">
        <v>824</v>
      </c>
      <c r="B22" s="845"/>
      <c r="C22" s="845"/>
      <c r="D22" s="845"/>
      <c r="E22" s="845"/>
      <c r="F22" s="845"/>
      <c r="G22" s="845"/>
      <c r="H22" s="139"/>
      <c r="I22" s="139"/>
      <c r="J22" s="139"/>
      <c r="K22" s="610"/>
    </row>
    <row r="23" spans="1:12" ht="15" x14ac:dyDescent="0.2">
      <c r="A23" s="628" t="s">
        <v>519</v>
      </c>
      <c r="B23" s="847" t="s">
        <v>518</v>
      </c>
      <c r="C23" s="847"/>
      <c r="D23" s="579"/>
      <c r="E23" s="579" t="s">
        <v>494</v>
      </c>
      <c r="F23" s="579" t="s">
        <v>926</v>
      </c>
      <c r="G23" s="579" t="s">
        <v>928</v>
      </c>
      <c r="H23" s="579" t="s">
        <v>881</v>
      </c>
      <c r="I23" s="579" t="s">
        <v>828</v>
      </c>
      <c r="J23" s="579" t="s">
        <v>828</v>
      </c>
      <c r="K23" s="612" t="s">
        <v>830</v>
      </c>
    </row>
    <row r="24" spans="1:12" s="192" customFormat="1" ht="28.5" x14ac:dyDescent="0.2">
      <c r="A24" s="630" t="s">
        <v>138</v>
      </c>
      <c r="B24" s="631" t="s">
        <v>872</v>
      </c>
      <c r="C24" s="197">
        <v>2014</v>
      </c>
      <c r="D24" s="632">
        <f>E24</f>
        <v>288976</v>
      </c>
      <c r="E24" s="616">
        <v>288976</v>
      </c>
      <c r="F24" s="617"/>
      <c r="G24" s="617"/>
      <c r="H24" s="617"/>
      <c r="I24" s="617"/>
      <c r="J24" s="617"/>
      <c r="K24" s="618">
        <f>AVERAGE(E24:J24)</f>
        <v>288976</v>
      </c>
      <c r="L24" s="175"/>
    </row>
    <row r="25" spans="1:12" s="192" customFormat="1" ht="42.75" x14ac:dyDescent="0.2">
      <c r="A25" s="630" t="s">
        <v>875</v>
      </c>
      <c r="B25" s="633" t="s">
        <v>873</v>
      </c>
      <c r="C25" s="206" t="s">
        <v>874</v>
      </c>
      <c r="D25" s="621">
        <f>(K25-(K25*$C$39))</f>
        <v>39241.384405999997</v>
      </c>
      <c r="E25" s="617"/>
      <c r="F25" s="616">
        <v>110000</v>
      </c>
      <c r="G25" s="616">
        <v>110000</v>
      </c>
      <c r="H25" s="616">
        <v>118093.49</v>
      </c>
      <c r="I25" s="616"/>
      <c r="J25" s="616"/>
      <c r="K25" s="618">
        <f>AVERAGE(F25:J25)</f>
        <v>112697.83</v>
      </c>
    </row>
    <row r="26" spans="1:12" s="192" customFormat="1" ht="28.5" x14ac:dyDescent="0.2">
      <c r="A26" s="634" t="s">
        <v>520</v>
      </c>
      <c r="B26" s="229" t="s">
        <v>876</v>
      </c>
      <c r="C26" s="633" t="s">
        <v>877</v>
      </c>
      <c r="D26" s="621">
        <f>(K26-(K26*$C$39))</f>
        <v>10721.077999999998</v>
      </c>
      <c r="E26" s="617"/>
      <c r="F26" s="616">
        <v>43000</v>
      </c>
      <c r="G26" s="616">
        <v>42000</v>
      </c>
      <c r="H26" s="616">
        <v>30790</v>
      </c>
      <c r="I26" s="616"/>
      <c r="J26" s="616"/>
      <c r="K26" s="618">
        <f>AVERAGE(H26:I26)</f>
        <v>30790</v>
      </c>
    </row>
    <row r="27" spans="1:12" s="192" customFormat="1" x14ac:dyDescent="0.2">
      <c r="A27" s="624"/>
      <c r="B27" s="382"/>
      <c r="C27" s="635"/>
      <c r="E27" s="189"/>
      <c r="F27" s="384"/>
      <c r="G27" s="189"/>
      <c r="H27" s="384"/>
      <c r="K27" s="396"/>
    </row>
    <row r="28" spans="1:12" ht="15" x14ac:dyDescent="0.25">
      <c r="A28" s="844" t="s">
        <v>523</v>
      </c>
      <c r="B28" s="845"/>
      <c r="C28" s="845"/>
      <c r="D28" s="845"/>
      <c r="E28" s="845"/>
      <c r="F28" s="845"/>
      <c r="G28" s="845"/>
      <c r="H28" s="139"/>
      <c r="K28" s="350"/>
    </row>
    <row r="29" spans="1:12" ht="15" x14ac:dyDescent="0.2">
      <c r="A29" s="628" t="s">
        <v>519</v>
      </c>
      <c r="B29" s="843" t="s">
        <v>518</v>
      </c>
      <c r="C29" s="843"/>
      <c r="D29" s="579"/>
      <c r="E29" s="579" t="s">
        <v>494</v>
      </c>
      <c r="F29" s="579" t="s">
        <v>495</v>
      </c>
      <c r="G29" s="579" t="s">
        <v>496</v>
      </c>
      <c r="H29" s="579" t="s">
        <v>506</v>
      </c>
      <c r="K29" s="606"/>
    </row>
    <row r="30" spans="1:12" x14ac:dyDescent="0.2">
      <c r="A30" s="634" t="s">
        <v>141</v>
      </c>
      <c r="B30" s="636"/>
      <c r="C30" s="633"/>
      <c r="D30" s="615"/>
      <c r="E30" s="177"/>
      <c r="F30" s="617"/>
      <c r="G30" s="617"/>
      <c r="H30" s="616"/>
      <c r="I30" s="175"/>
      <c r="K30" s="606"/>
    </row>
    <row r="31" spans="1:12" ht="42.75" hidden="1" x14ac:dyDescent="0.2">
      <c r="A31" s="637" t="s">
        <v>520</v>
      </c>
      <c r="B31" s="638" t="s">
        <v>509</v>
      </c>
      <c r="C31" s="639" t="s">
        <v>510</v>
      </c>
      <c r="D31" s="639"/>
      <c r="E31" s="640"/>
      <c r="F31" s="641">
        <v>36500</v>
      </c>
      <c r="G31" s="640"/>
      <c r="H31" s="641">
        <v>29950</v>
      </c>
      <c r="K31" s="606"/>
    </row>
    <row r="32" spans="1:12" ht="12.6" hidden="1" customHeight="1" x14ac:dyDescent="0.2">
      <c r="A32" s="637" t="s">
        <v>520</v>
      </c>
      <c r="B32" s="640" t="s">
        <v>498</v>
      </c>
      <c r="C32" s="642" t="s">
        <v>511</v>
      </c>
      <c r="D32" s="642"/>
      <c r="E32" s="640"/>
      <c r="F32" s="641">
        <v>34500</v>
      </c>
      <c r="G32" s="640"/>
      <c r="H32" s="641"/>
      <c r="K32" s="606"/>
    </row>
    <row r="33" spans="1:11" ht="28.5" hidden="1" x14ac:dyDescent="0.2">
      <c r="A33" s="643" t="s">
        <v>516</v>
      </c>
      <c r="B33" s="644" t="s">
        <v>508</v>
      </c>
      <c r="C33" s="645"/>
      <c r="D33" s="645"/>
      <c r="E33" s="646"/>
      <c r="F33" s="646"/>
      <c r="G33" s="641">
        <v>229500</v>
      </c>
      <c r="H33" s="641"/>
      <c r="K33" s="606"/>
    </row>
    <row r="34" spans="1:11" hidden="1" x14ac:dyDescent="0.2">
      <c r="A34" s="647" t="s">
        <v>515</v>
      </c>
      <c r="B34" s="640" t="s">
        <v>492</v>
      </c>
      <c r="C34" s="642" t="s">
        <v>513</v>
      </c>
      <c r="D34" s="642"/>
      <c r="E34" s="641">
        <v>331188</v>
      </c>
      <c r="F34" s="646"/>
      <c r="G34" s="646"/>
      <c r="H34" s="641"/>
      <c r="K34" s="606"/>
    </row>
    <row r="35" spans="1:11" hidden="1" x14ac:dyDescent="0.2">
      <c r="A35" s="647" t="s">
        <v>515</v>
      </c>
      <c r="B35" s="640" t="s">
        <v>493</v>
      </c>
      <c r="C35" s="642" t="s">
        <v>514</v>
      </c>
      <c r="D35" s="642"/>
      <c r="E35" s="641">
        <v>274125</v>
      </c>
      <c r="F35" s="646"/>
      <c r="G35" s="646"/>
      <c r="H35" s="641"/>
      <c r="K35" s="606"/>
    </row>
    <row r="36" spans="1:11" ht="15" thickBot="1" x14ac:dyDescent="0.25">
      <c r="A36" s="648"/>
      <c r="K36" s="606"/>
    </row>
    <row r="37" spans="1:11" ht="15" x14ac:dyDescent="0.25">
      <c r="A37" s="837" t="s">
        <v>820</v>
      </c>
      <c r="B37" s="838"/>
      <c r="C37" s="666" t="s">
        <v>819</v>
      </c>
      <c r="D37" s="667" t="s">
        <v>911</v>
      </c>
      <c r="E37" s="668" t="s">
        <v>864</v>
      </c>
      <c r="K37" s="606"/>
    </row>
    <row r="38" spans="1:11" ht="15" x14ac:dyDescent="0.25">
      <c r="A38" s="839" t="s">
        <v>821</v>
      </c>
      <c r="B38" s="840"/>
      <c r="C38" s="669">
        <v>0.65180000000000005</v>
      </c>
      <c r="D38" s="670">
        <v>504136</v>
      </c>
      <c r="E38" s="671">
        <f>E10</f>
        <v>234125</v>
      </c>
      <c r="K38" s="606"/>
    </row>
    <row r="39" spans="1:11" ht="15.75" thickBot="1" x14ac:dyDescent="0.3">
      <c r="A39" s="841" t="s">
        <v>869</v>
      </c>
      <c r="B39" s="842"/>
      <c r="C39" s="672">
        <v>0.65180000000000005</v>
      </c>
      <c r="D39" s="673">
        <v>499693</v>
      </c>
      <c r="E39" s="674">
        <f>E24</f>
        <v>288976</v>
      </c>
      <c r="F39" s="649"/>
      <c r="G39" s="649"/>
      <c r="H39" s="649"/>
      <c r="I39" s="649"/>
      <c r="J39" s="649"/>
      <c r="K39" s="650"/>
    </row>
    <row r="40" spans="1:11" hidden="1" x14ac:dyDescent="0.2">
      <c r="E40" s="381"/>
    </row>
  </sheetData>
  <mergeCells count="14">
    <mergeCell ref="H20:K20"/>
    <mergeCell ref="D7:G7"/>
    <mergeCell ref="A37:B37"/>
    <mergeCell ref="A38:B38"/>
    <mergeCell ref="A39:B39"/>
    <mergeCell ref="B29:C29"/>
    <mergeCell ref="A28:G28"/>
    <mergeCell ref="A8:G8"/>
    <mergeCell ref="B9:C9"/>
    <mergeCell ref="A22:G22"/>
    <mergeCell ref="B23:C23"/>
    <mergeCell ref="A21:G21"/>
    <mergeCell ref="A15:G15"/>
    <mergeCell ref="B16:C16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69" fitToHeight="0" orientation="landscape" r:id="rId1"/>
  <headerFooter alignWithMargins="0"/>
  <ignoredErrors>
    <ignoredError sqref="K12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83"/>
  <sheetViews>
    <sheetView showGridLines="0" topLeftCell="A4" zoomScale="115" zoomScaleNormal="115" workbookViewId="0">
      <selection activeCell="A23" sqref="A23"/>
    </sheetView>
  </sheetViews>
  <sheetFormatPr defaultColWidth="11.5703125" defaultRowHeight="12.75" x14ac:dyDescent="0.2"/>
  <cols>
    <col min="1" max="1" width="84.85546875" bestFit="1" customWidth="1"/>
    <col min="2" max="2" width="11.5703125" customWidth="1"/>
    <col min="3" max="3" width="13.28515625" customWidth="1"/>
  </cols>
  <sheetData>
    <row r="6" spans="1:10" s="2" customFormat="1" ht="16.5" x14ac:dyDescent="0.2">
      <c r="A6" s="26" t="s">
        <v>421</v>
      </c>
      <c r="B6" s="25"/>
      <c r="C6" s="25"/>
      <c r="D6" s="25"/>
      <c r="E6" s="25"/>
      <c r="F6" s="25"/>
      <c r="G6" s="25"/>
      <c r="I6" s="7"/>
    </row>
    <row r="7" spans="1:10" s="2" customFormat="1" ht="33" x14ac:dyDescent="0.3">
      <c r="A7" s="27" t="s">
        <v>428</v>
      </c>
      <c r="B7" s="28" t="s">
        <v>9</v>
      </c>
      <c r="C7" s="29" t="s">
        <v>10</v>
      </c>
      <c r="D7" s="29" t="s">
        <v>429</v>
      </c>
      <c r="E7" s="29"/>
      <c r="F7" s="29"/>
      <c r="G7" s="30"/>
      <c r="I7" s="6"/>
    </row>
    <row r="8" spans="1:10" x14ac:dyDescent="0.2">
      <c r="A8" s="37" t="s">
        <v>416</v>
      </c>
      <c r="B8" s="24" t="s">
        <v>422</v>
      </c>
      <c r="C8" s="24">
        <v>182660</v>
      </c>
      <c r="D8" s="24" t="s">
        <v>423</v>
      </c>
      <c r="E8" s="24"/>
      <c r="H8" s="69" t="s">
        <v>490</v>
      </c>
      <c r="I8" s="69" t="s">
        <v>489</v>
      </c>
      <c r="J8" s="69" t="s">
        <v>491</v>
      </c>
    </row>
    <row r="9" spans="1:10" x14ac:dyDescent="0.2">
      <c r="A9" s="37" t="s">
        <v>417</v>
      </c>
      <c r="B9" s="24" t="s">
        <v>418</v>
      </c>
      <c r="C9" s="24">
        <f>H9</f>
        <v>34800</v>
      </c>
      <c r="D9" s="24" t="s">
        <v>424</v>
      </c>
      <c r="E9" s="24" t="s">
        <v>425</v>
      </c>
      <c r="H9" s="70">
        <f>2900*12</f>
        <v>34800</v>
      </c>
      <c r="I9" s="70">
        <f>150*12</f>
        <v>1800</v>
      </c>
      <c r="J9" s="70">
        <f>7242</f>
        <v>7242</v>
      </c>
    </row>
    <row r="10" spans="1:10" x14ac:dyDescent="0.2">
      <c r="A10" s="37" t="s">
        <v>432</v>
      </c>
      <c r="B10" s="24" t="s">
        <v>419</v>
      </c>
      <c r="C10" s="24">
        <f>C9/12/30</f>
        <v>96.666666666666671</v>
      </c>
      <c r="D10" s="24" t="s">
        <v>427</v>
      </c>
      <c r="E10" s="24"/>
    </row>
    <row r="11" spans="1:10" x14ac:dyDescent="0.2">
      <c r="A11" s="37" t="s">
        <v>420</v>
      </c>
      <c r="B11" s="24" t="s">
        <v>426</v>
      </c>
      <c r="C11" s="24">
        <f>(C10*1000)/C8</f>
        <v>0.52921639475893278</v>
      </c>
      <c r="D11" s="24" t="s">
        <v>427</v>
      </c>
      <c r="E11" s="24"/>
    </row>
    <row r="12" spans="1:10" x14ac:dyDescent="0.2">
      <c r="A12" s="36" t="s">
        <v>445</v>
      </c>
      <c r="B12" s="24" t="s">
        <v>441</v>
      </c>
      <c r="C12" s="24">
        <v>0.25</v>
      </c>
      <c r="D12" s="37" t="s">
        <v>442</v>
      </c>
      <c r="E12" s="24"/>
    </row>
    <row r="13" spans="1:10" x14ac:dyDescent="0.2">
      <c r="A13" s="61" t="s">
        <v>470</v>
      </c>
      <c r="B13" s="23" t="s">
        <v>449</v>
      </c>
      <c r="C13" s="23">
        <v>3</v>
      </c>
      <c r="D13" s="62" t="s">
        <v>443</v>
      </c>
      <c r="E13" s="23"/>
    </row>
    <row r="14" spans="1:10" x14ac:dyDescent="0.2">
      <c r="A14" s="40" t="s">
        <v>471</v>
      </c>
      <c r="B14" s="24" t="s">
        <v>449</v>
      </c>
      <c r="C14" s="24">
        <v>1</v>
      </c>
      <c r="D14" s="37" t="s">
        <v>444</v>
      </c>
      <c r="E14" s="24"/>
    </row>
    <row r="15" spans="1:10" x14ac:dyDescent="0.2">
      <c r="A15" s="40" t="s">
        <v>472</v>
      </c>
      <c r="B15" s="24" t="s">
        <v>447</v>
      </c>
      <c r="C15" s="24">
        <v>15</v>
      </c>
      <c r="D15" s="37" t="s">
        <v>450</v>
      </c>
      <c r="E15" s="24"/>
    </row>
    <row r="16" spans="1:10" x14ac:dyDescent="0.2">
      <c r="A16" s="40" t="s">
        <v>473</v>
      </c>
      <c r="B16" s="24" t="s">
        <v>448</v>
      </c>
      <c r="C16" s="24">
        <v>6</v>
      </c>
      <c r="D16" s="37" t="s">
        <v>450</v>
      </c>
      <c r="E16" s="24"/>
    </row>
    <row r="17" spans="1:7" x14ac:dyDescent="0.2">
      <c r="A17" s="58" t="s">
        <v>436</v>
      </c>
      <c r="B17" s="59" t="s">
        <v>9</v>
      </c>
      <c r="C17" s="59">
        <v>3</v>
      </c>
      <c r="D17" s="59" t="s">
        <v>435</v>
      </c>
      <c r="E17" s="59"/>
      <c r="F17" s="57"/>
      <c r="G17" s="57"/>
    </row>
    <row r="18" spans="1:7" x14ac:dyDescent="0.2">
      <c r="E18" s="24"/>
    </row>
    <row r="19" spans="1:7" ht="16.5" x14ac:dyDescent="0.2">
      <c r="A19" s="26" t="s">
        <v>440</v>
      </c>
      <c r="B19" s="25"/>
      <c r="C19" s="25"/>
      <c r="D19" s="25"/>
      <c r="E19" s="25"/>
      <c r="F19" s="25"/>
      <c r="G19" s="25"/>
    </row>
    <row r="20" spans="1:7" ht="16.5" x14ac:dyDescent="0.3">
      <c r="A20" s="41" t="s">
        <v>453</v>
      </c>
      <c r="B20" s="28"/>
      <c r="C20" s="29"/>
      <c r="D20" s="29"/>
      <c r="E20" s="29"/>
      <c r="F20" s="29"/>
      <c r="G20" s="30"/>
    </row>
    <row r="21" spans="1:7" ht="13.5" thickBot="1" x14ac:dyDescent="0.25"/>
    <row r="22" spans="1:7" ht="13.5" thickBot="1" x14ac:dyDescent="0.25">
      <c r="A22" s="39" t="s">
        <v>437</v>
      </c>
    </row>
    <row r="23" spans="1:7" x14ac:dyDescent="0.2">
      <c r="A23" s="36" t="s">
        <v>445</v>
      </c>
    </row>
    <row r="24" spans="1:7" x14ac:dyDescent="0.2">
      <c r="A24" s="36" t="s">
        <v>446</v>
      </c>
    </row>
    <row r="25" spans="1:7" ht="13.5" thickBot="1" x14ac:dyDescent="0.25">
      <c r="A25" s="36" t="s">
        <v>452</v>
      </c>
    </row>
    <row r="26" spans="1:7" ht="13.5" thickBot="1" x14ac:dyDescent="0.25">
      <c r="A26" s="43" t="s">
        <v>451</v>
      </c>
      <c r="B26" s="42">
        <f>C12*C13*C15*0.7</f>
        <v>7.8749999999999991</v>
      </c>
    </row>
    <row r="27" spans="1:7" x14ac:dyDescent="0.2">
      <c r="A27" s="31"/>
    </row>
    <row r="28" spans="1:7" ht="16.5" x14ac:dyDescent="0.3">
      <c r="A28" s="41" t="s">
        <v>455</v>
      </c>
      <c r="B28" s="28"/>
      <c r="C28" s="29"/>
      <c r="D28" s="29"/>
      <c r="E28" s="29"/>
      <c r="F28" s="29"/>
      <c r="G28" s="30"/>
    </row>
    <row r="29" spans="1:7" ht="13.5" thickBot="1" x14ac:dyDescent="0.25">
      <c r="A29" s="31"/>
    </row>
    <row r="30" spans="1:7" ht="13.5" thickBot="1" x14ac:dyDescent="0.25">
      <c r="A30" s="42" t="s">
        <v>456</v>
      </c>
    </row>
    <row r="31" spans="1:7" x14ac:dyDescent="0.2">
      <c r="A31" s="5" t="s">
        <v>438</v>
      </c>
    </row>
    <row r="32" spans="1:7" ht="13.5" thickBot="1" x14ac:dyDescent="0.25">
      <c r="A32" s="5" t="s">
        <v>439</v>
      </c>
    </row>
    <row r="33" spans="1:7" ht="13.5" thickBot="1" x14ac:dyDescent="0.25">
      <c r="A33" s="44" t="s">
        <v>455</v>
      </c>
      <c r="B33" s="47">
        <f>7/C16</f>
        <v>1.1666666666666667</v>
      </c>
    </row>
    <row r="35" spans="1:7" ht="16.5" x14ac:dyDescent="0.3">
      <c r="A35" s="41" t="s">
        <v>454</v>
      </c>
      <c r="B35" s="28"/>
      <c r="C35" s="29"/>
      <c r="D35" s="29"/>
      <c r="E35" s="29"/>
      <c r="F35" s="29"/>
      <c r="G35" s="30"/>
    </row>
    <row r="36" spans="1:7" ht="13.5" thickBot="1" x14ac:dyDescent="0.25">
      <c r="A36" s="31"/>
    </row>
    <row r="37" spans="1:7" ht="13.5" thickBot="1" x14ac:dyDescent="0.25">
      <c r="A37" s="38" t="s">
        <v>430</v>
      </c>
    </row>
    <row r="38" spans="1:7" x14ac:dyDescent="0.2">
      <c r="A38" s="5" t="s">
        <v>432</v>
      </c>
    </row>
    <row r="39" spans="1:7" x14ac:dyDescent="0.2">
      <c r="A39" s="5" t="s">
        <v>434</v>
      </c>
    </row>
    <row r="40" spans="1:7" x14ac:dyDescent="0.2">
      <c r="A40" s="4" t="s">
        <v>433</v>
      </c>
      <c r="B40" s="57"/>
      <c r="C40" s="57"/>
      <c r="D40" s="57"/>
      <c r="E40" s="57"/>
      <c r="F40" s="57"/>
      <c r="G40" s="57"/>
    </row>
    <row r="41" spans="1:7" ht="13.5" thickBot="1" x14ac:dyDescent="0.25">
      <c r="A41" s="5" t="s">
        <v>431</v>
      </c>
    </row>
    <row r="42" spans="1:7" ht="13.5" thickBot="1" x14ac:dyDescent="0.25">
      <c r="A42" s="48" t="s">
        <v>454</v>
      </c>
      <c r="B42" s="60">
        <f>(C10/(B26*C17))*B33</f>
        <v>4.7736625514403306</v>
      </c>
    </row>
    <row r="43" spans="1:7" ht="13.5" thickBot="1" x14ac:dyDescent="0.25">
      <c r="A43" s="48" t="s">
        <v>474</v>
      </c>
      <c r="B43" s="47">
        <f>(C10/B26)*B33</f>
        <v>14.320987654320991</v>
      </c>
    </row>
    <row r="55" spans="1:1" x14ac:dyDescent="0.2">
      <c r="A55" s="36"/>
    </row>
    <row r="56" spans="1:1" x14ac:dyDescent="0.2">
      <c r="A56" s="36"/>
    </row>
    <row r="57" spans="1:1" x14ac:dyDescent="0.2">
      <c r="A57" s="36"/>
    </row>
    <row r="68" spans="1:3" x14ac:dyDescent="0.2">
      <c r="A68" s="31" t="s">
        <v>399</v>
      </c>
    </row>
    <row r="69" spans="1:3" x14ac:dyDescent="0.2">
      <c r="A69" s="31"/>
    </row>
    <row r="70" spans="1:3" x14ac:dyDescent="0.2">
      <c r="A70" s="31" t="s">
        <v>409</v>
      </c>
    </row>
    <row r="71" spans="1:3" x14ac:dyDescent="0.2">
      <c r="A71" s="31" t="s">
        <v>401</v>
      </c>
    </row>
    <row r="72" spans="1:3" x14ac:dyDescent="0.2">
      <c r="A72" s="31" t="s">
        <v>404</v>
      </c>
      <c r="B72" s="32">
        <v>0.25</v>
      </c>
      <c r="C72" s="34" t="s">
        <v>407</v>
      </c>
    </row>
    <row r="73" spans="1:3" x14ac:dyDescent="0.2">
      <c r="A73" s="31" t="s">
        <v>402</v>
      </c>
      <c r="B73" s="32">
        <v>3</v>
      </c>
    </row>
    <row r="74" spans="1:3" x14ac:dyDescent="0.2">
      <c r="A74" s="31" t="s">
        <v>400</v>
      </c>
      <c r="B74" s="32">
        <v>15</v>
      </c>
      <c r="C74" s="34" t="s">
        <v>415</v>
      </c>
    </row>
    <row r="75" spans="1:3" x14ac:dyDescent="0.2">
      <c r="A75" s="31" t="s">
        <v>403</v>
      </c>
      <c r="B75" s="33">
        <v>0.7</v>
      </c>
    </row>
    <row r="76" spans="1:3" x14ac:dyDescent="0.2">
      <c r="A76" s="31" t="s">
        <v>405</v>
      </c>
      <c r="B76" s="32">
        <f>B74*B75*B72*B73</f>
        <v>7.875</v>
      </c>
      <c r="C76" s="34" t="s">
        <v>406</v>
      </c>
    </row>
    <row r="78" spans="1:3" x14ac:dyDescent="0.2">
      <c r="A78" s="34" t="s">
        <v>408</v>
      </c>
      <c r="B78" s="46">
        <f>C10</f>
        <v>96.666666666666671</v>
      </c>
      <c r="C78" s="31" t="s">
        <v>406</v>
      </c>
    </row>
    <row r="79" spans="1:3" x14ac:dyDescent="0.2">
      <c r="A79" s="34" t="s">
        <v>410</v>
      </c>
      <c r="B79" s="3">
        <f>B78/B76</f>
        <v>12.275132275132275</v>
      </c>
    </row>
    <row r="80" spans="1:3" x14ac:dyDescent="0.2">
      <c r="A80" s="34" t="s">
        <v>411</v>
      </c>
      <c r="B80">
        <f>ROUNDUP(B79,0)</f>
        <v>13</v>
      </c>
    </row>
    <row r="82" spans="1:2" x14ac:dyDescent="0.2">
      <c r="A82" s="34" t="s">
        <v>412</v>
      </c>
    </row>
    <row r="83" spans="1:2" x14ac:dyDescent="0.2">
      <c r="A83" s="34" t="s">
        <v>413</v>
      </c>
      <c r="B83" s="31" t="s">
        <v>414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77"/>
  <sheetViews>
    <sheetView showGridLines="0" topLeftCell="A28" zoomScale="115" zoomScaleNormal="115" workbookViewId="0">
      <selection activeCell="C20" sqref="C20"/>
    </sheetView>
  </sheetViews>
  <sheetFormatPr defaultColWidth="11.5703125" defaultRowHeight="12.75" x14ac:dyDescent="0.2"/>
  <cols>
    <col min="1" max="1" width="84.85546875" bestFit="1" customWidth="1"/>
    <col min="2" max="2" width="11.5703125" customWidth="1"/>
    <col min="3" max="3" width="13.28515625" customWidth="1"/>
    <col min="13" max="13" width="16" bestFit="1" customWidth="1"/>
    <col min="15" max="15" width="16" bestFit="1" customWidth="1"/>
  </cols>
  <sheetData>
    <row r="6" spans="1:14" s="2" customFormat="1" ht="16.5" x14ac:dyDescent="0.2">
      <c r="A6" s="26" t="s">
        <v>421</v>
      </c>
      <c r="B6" s="25"/>
      <c r="C6" s="25"/>
      <c r="D6" s="25"/>
      <c r="E6" s="25"/>
      <c r="F6" s="25"/>
      <c r="G6" s="25"/>
      <c r="I6" s="7"/>
    </row>
    <row r="7" spans="1:14" s="2" customFormat="1" ht="33" x14ac:dyDescent="0.3">
      <c r="A7" s="27" t="s">
        <v>428</v>
      </c>
      <c r="B7" s="28" t="s">
        <v>9</v>
      </c>
      <c r="C7" s="29" t="s">
        <v>10</v>
      </c>
      <c r="D7" s="29" t="s">
        <v>429</v>
      </c>
      <c r="E7" s="29"/>
      <c r="F7" s="29"/>
      <c r="G7" s="30"/>
      <c r="I7" s="6"/>
      <c r="J7" s="2" t="s">
        <v>398</v>
      </c>
    </row>
    <row r="8" spans="1:14" s="2" customFormat="1" x14ac:dyDescent="0.2">
      <c r="A8" s="64" t="s">
        <v>500</v>
      </c>
      <c r="B8" s="50" t="s">
        <v>502</v>
      </c>
      <c r="C8" s="73" t="e">
        <f>#REF!</f>
        <v>#REF!</v>
      </c>
      <c r="D8" s="50"/>
      <c r="E8" s="50"/>
      <c r="F8" s="56"/>
      <c r="G8" s="56"/>
      <c r="I8" s="6"/>
    </row>
    <row r="9" spans="1:14" x14ac:dyDescent="0.2">
      <c r="A9" s="64" t="s">
        <v>486</v>
      </c>
      <c r="B9" s="50" t="s">
        <v>488</v>
      </c>
      <c r="C9" s="73">
        <v>2.44</v>
      </c>
      <c r="D9" s="50" t="s">
        <v>487</v>
      </c>
      <c r="E9" s="50"/>
      <c r="F9" s="56"/>
      <c r="G9" s="56"/>
    </row>
    <row r="10" spans="1:14" x14ac:dyDescent="0.2">
      <c r="A10" s="64" t="s">
        <v>416</v>
      </c>
      <c r="B10" s="50" t="s">
        <v>422</v>
      </c>
      <c r="C10" s="73" t="e">
        <f>C8*C9</f>
        <v>#REF!</v>
      </c>
      <c r="D10" s="50" t="s">
        <v>423</v>
      </c>
      <c r="E10" s="50"/>
      <c r="F10" s="56"/>
      <c r="G10" s="56"/>
      <c r="H10" t="s">
        <v>484</v>
      </c>
    </row>
    <row r="11" spans="1:14" x14ac:dyDescent="0.2">
      <c r="A11" s="64" t="s">
        <v>420</v>
      </c>
      <c r="B11" s="50" t="s">
        <v>426</v>
      </c>
      <c r="C11" s="50" t="e">
        <f>#REF!</f>
        <v>#REF!</v>
      </c>
      <c r="D11" s="50" t="s">
        <v>427</v>
      </c>
      <c r="E11" s="50"/>
      <c r="F11" s="56"/>
      <c r="G11" s="56"/>
      <c r="H11" s="68" t="e">
        <f>H12/H13</f>
        <v>#REF!</v>
      </c>
    </row>
    <row r="12" spans="1:14" x14ac:dyDescent="0.2">
      <c r="A12" s="64" t="s">
        <v>417</v>
      </c>
      <c r="B12" s="50" t="s">
        <v>501</v>
      </c>
      <c r="C12" s="50" t="e">
        <f>C10*C11</f>
        <v>#REF!</v>
      </c>
      <c r="D12" s="50" t="s">
        <v>424</v>
      </c>
      <c r="E12" s="50" t="s">
        <v>425</v>
      </c>
      <c r="F12" s="56"/>
      <c r="G12" s="56"/>
      <c r="H12">
        <f>B35*1000</f>
        <v>6300</v>
      </c>
      <c r="I12" t="s">
        <v>483</v>
      </c>
      <c r="J12" s="75" t="s">
        <v>490</v>
      </c>
      <c r="K12" s="75" t="s">
        <v>489</v>
      </c>
      <c r="L12" s="75" t="s">
        <v>504</v>
      </c>
      <c r="M12" s="75" t="s">
        <v>505</v>
      </c>
    </row>
    <row r="13" spans="1:14" x14ac:dyDescent="0.2">
      <c r="A13" s="64" t="s">
        <v>432</v>
      </c>
      <c r="B13" s="50" t="s">
        <v>419</v>
      </c>
      <c r="C13" s="50" t="e">
        <f>C12/1000</f>
        <v>#REF!</v>
      </c>
      <c r="D13" s="50" t="s">
        <v>427</v>
      </c>
      <c r="E13" s="50"/>
      <c r="F13" s="56"/>
      <c r="G13" s="56"/>
      <c r="H13" s="3" t="e">
        <f>2.44*C11</f>
        <v>#REF!</v>
      </c>
      <c r="I13" t="s">
        <v>482</v>
      </c>
      <c r="J13" s="76">
        <f>2900*12</f>
        <v>34800</v>
      </c>
      <c r="K13" s="76">
        <f>150*12</f>
        <v>1800</v>
      </c>
      <c r="L13" s="76" t="e">
        <f>SUM(#REF!)*#REF!</f>
        <v>#REF!</v>
      </c>
      <c r="M13" s="77" t="e">
        <f>(((J13+K13)/12/30)*1000)/L13</f>
        <v>#REF!</v>
      </c>
      <c r="N13">
        <f>(J13+K13)/365</f>
        <v>100.27397260273973</v>
      </c>
    </row>
    <row r="14" spans="1:14" x14ac:dyDescent="0.2">
      <c r="A14" s="49" t="s">
        <v>445</v>
      </c>
      <c r="B14" s="50" t="s">
        <v>441</v>
      </c>
      <c r="C14" s="50">
        <v>0.25</v>
      </c>
      <c r="D14" s="64" t="s">
        <v>442</v>
      </c>
      <c r="E14" s="50"/>
      <c r="F14" s="56"/>
      <c r="G14" s="56"/>
      <c r="J14" s="79"/>
      <c r="M14" s="3"/>
    </row>
    <row r="15" spans="1:14" x14ac:dyDescent="0.2">
      <c r="A15" s="65" t="s">
        <v>470</v>
      </c>
      <c r="B15" s="50" t="s">
        <v>449</v>
      </c>
      <c r="C15" s="50">
        <v>2.4</v>
      </c>
      <c r="D15" s="64" t="s">
        <v>526</v>
      </c>
      <c r="E15" s="50"/>
      <c r="F15" s="56"/>
      <c r="G15" s="56"/>
      <c r="H15" t="s">
        <v>485</v>
      </c>
      <c r="J15" s="75" t="s">
        <v>491</v>
      </c>
      <c r="K15" s="75" t="s">
        <v>503</v>
      </c>
      <c r="L15" s="75" t="s">
        <v>504</v>
      </c>
      <c r="M15" s="75" t="s">
        <v>505</v>
      </c>
    </row>
    <row r="16" spans="1:14" x14ac:dyDescent="0.2">
      <c r="A16" s="65" t="s">
        <v>471</v>
      </c>
      <c r="B16" s="50" t="s">
        <v>449</v>
      </c>
      <c r="C16" s="50">
        <v>1</v>
      </c>
      <c r="D16" s="64" t="s">
        <v>444</v>
      </c>
      <c r="E16" s="50"/>
      <c r="F16" s="56"/>
      <c r="G16" s="56"/>
      <c r="H16" s="68" t="e">
        <f>H13*2</f>
        <v>#REF!</v>
      </c>
      <c r="J16" s="76">
        <f>7242</f>
        <v>7242</v>
      </c>
      <c r="K16" s="76" t="e">
        <f>SUM(J13:N13)</f>
        <v>#REF!</v>
      </c>
      <c r="L16" s="76">
        <v>182660</v>
      </c>
      <c r="M16" s="77">
        <v>0.67</v>
      </c>
    </row>
    <row r="17" spans="1:8" x14ac:dyDescent="0.2">
      <c r="A17" s="65" t="s">
        <v>472</v>
      </c>
      <c r="B17" s="50" t="s">
        <v>447</v>
      </c>
      <c r="C17" s="50">
        <v>15</v>
      </c>
      <c r="D17" s="64" t="s">
        <v>450</v>
      </c>
      <c r="E17" s="50"/>
      <c r="F17" s="56"/>
      <c r="G17" s="56"/>
      <c r="H17" s="68" t="e">
        <f>H12/H16</f>
        <v>#REF!</v>
      </c>
    </row>
    <row r="18" spans="1:8" x14ac:dyDescent="0.2">
      <c r="A18" s="65" t="s">
        <v>473</v>
      </c>
      <c r="B18" s="50" t="s">
        <v>448</v>
      </c>
      <c r="C18" s="50">
        <v>6</v>
      </c>
      <c r="D18" s="64" t="s">
        <v>450</v>
      </c>
      <c r="E18" s="50"/>
      <c r="F18" s="56"/>
      <c r="G18" s="56"/>
    </row>
    <row r="19" spans="1:8" x14ac:dyDescent="0.2">
      <c r="A19" s="58" t="s">
        <v>436</v>
      </c>
      <c r="B19" s="59" t="s">
        <v>9</v>
      </c>
      <c r="C19" s="59">
        <v>3</v>
      </c>
      <c r="D19" s="59" t="s">
        <v>435</v>
      </c>
      <c r="E19" s="59"/>
      <c r="F19" s="57"/>
      <c r="G19" s="57"/>
      <c r="H19">
        <f>2900/26</f>
        <v>111.53846153846153</v>
      </c>
    </row>
    <row r="20" spans="1:8" ht="25.5" x14ac:dyDescent="0.2">
      <c r="A20" s="51" t="s">
        <v>461</v>
      </c>
      <c r="B20" s="52" t="s">
        <v>35</v>
      </c>
      <c r="C20" s="52">
        <v>6</v>
      </c>
      <c r="D20" s="53"/>
      <c r="E20" s="54"/>
      <c r="F20" s="53"/>
      <c r="G20" s="53"/>
      <c r="H20">
        <f>H19/15</f>
        <v>7.4358974358974352</v>
      </c>
    </row>
    <row r="21" spans="1:8" x14ac:dyDescent="0.2">
      <c r="A21" s="55" t="s">
        <v>462</v>
      </c>
      <c r="B21" s="52" t="s">
        <v>468</v>
      </c>
      <c r="C21" s="72" t="e">
        <f>#REF!</f>
        <v>#REF!</v>
      </c>
      <c r="D21" s="54"/>
      <c r="E21" s="54"/>
      <c r="F21" s="53"/>
      <c r="G21" s="53"/>
      <c r="H21" s="31"/>
    </row>
    <row r="22" spans="1:8" x14ac:dyDescent="0.2">
      <c r="A22" s="55" t="s">
        <v>467</v>
      </c>
      <c r="B22" s="52"/>
      <c r="C22" s="52">
        <v>10</v>
      </c>
      <c r="D22" s="54"/>
      <c r="E22" s="54"/>
      <c r="F22" s="53"/>
      <c r="G22" s="53"/>
    </row>
    <row r="23" spans="1:8" x14ac:dyDescent="0.2">
      <c r="A23" s="55" t="s">
        <v>463</v>
      </c>
      <c r="B23" s="52" t="s">
        <v>468</v>
      </c>
      <c r="C23" s="52">
        <v>15</v>
      </c>
      <c r="D23" s="53"/>
      <c r="E23" s="53"/>
      <c r="F23" s="53"/>
      <c r="G23" s="53"/>
    </row>
    <row r="24" spans="1:8" x14ac:dyDescent="0.2">
      <c r="A24" s="55" t="s">
        <v>464</v>
      </c>
      <c r="B24" s="52" t="s">
        <v>468</v>
      </c>
      <c r="C24" s="52">
        <v>60</v>
      </c>
      <c r="D24" s="53"/>
      <c r="E24" s="53"/>
      <c r="F24" s="53"/>
      <c r="G24" s="53"/>
    </row>
    <row r="25" spans="1:8" x14ac:dyDescent="0.2">
      <c r="A25" s="55" t="s">
        <v>465</v>
      </c>
      <c r="B25" s="52" t="s">
        <v>468</v>
      </c>
      <c r="C25" s="52">
        <v>58</v>
      </c>
      <c r="D25" s="53"/>
      <c r="E25" s="53"/>
      <c r="F25" s="53"/>
      <c r="G25" s="53"/>
    </row>
    <row r="26" spans="1:8" x14ac:dyDescent="0.2">
      <c r="A26" s="55" t="s">
        <v>469</v>
      </c>
      <c r="B26" s="52" t="str">
        <f>B13</f>
        <v>ton/dia</v>
      </c>
      <c r="C26" s="52" t="e">
        <f>#REF!</f>
        <v>#REF!</v>
      </c>
      <c r="D26" s="53"/>
      <c r="E26" s="53"/>
      <c r="F26" s="53"/>
      <c r="G26" s="53"/>
    </row>
    <row r="27" spans="1:8" x14ac:dyDescent="0.2">
      <c r="A27" s="71" t="s">
        <v>477</v>
      </c>
      <c r="B27" s="52" t="s">
        <v>478</v>
      </c>
      <c r="C27" s="52">
        <v>4</v>
      </c>
      <c r="D27" s="53"/>
      <c r="E27" s="53"/>
      <c r="F27" s="53"/>
      <c r="G27" s="53"/>
    </row>
    <row r="28" spans="1:8" ht="16.5" x14ac:dyDescent="0.2">
      <c r="A28" s="26" t="s">
        <v>440</v>
      </c>
      <c r="B28" s="25"/>
      <c r="C28" s="25"/>
      <c r="D28" s="25"/>
      <c r="E28" s="25"/>
      <c r="F28" s="25"/>
      <c r="G28" s="25"/>
    </row>
    <row r="29" spans="1:8" ht="16.5" x14ac:dyDescent="0.3">
      <c r="A29" s="41" t="s">
        <v>453</v>
      </c>
      <c r="B29" s="28"/>
      <c r="C29" s="29"/>
      <c r="D29" s="29"/>
      <c r="E29" s="29"/>
      <c r="F29" s="29"/>
      <c r="G29" s="30"/>
    </row>
    <row r="30" spans="1:8" ht="13.5" thickBot="1" x14ac:dyDescent="0.25"/>
    <row r="31" spans="1:8" ht="13.5" thickBot="1" x14ac:dyDescent="0.25">
      <c r="A31" s="38" t="s">
        <v>437</v>
      </c>
      <c r="B31" t="s">
        <v>499</v>
      </c>
      <c r="C31" s="74">
        <v>0.7</v>
      </c>
    </row>
    <row r="32" spans="1:8" x14ac:dyDescent="0.2">
      <c r="A32" s="36" t="s">
        <v>445</v>
      </c>
      <c r="D32" s="31"/>
    </row>
    <row r="33" spans="1:7" x14ac:dyDescent="0.2">
      <c r="A33" s="36" t="s">
        <v>446</v>
      </c>
      <c r="D33" s="31"/>
    </row>
    <row r="34" spans="1:7" ht="13.5" thickBot="1" x14ac:dyDescent="0.25">
      <c r="A34" s="36" t="s">
        <v>452</v>
      </c>
    </row>
    <row r="35" spans="1:7" ht="13.5" thickBot="1" x14ac:dyDescent="0.25">
      <c r="A35" s="43" t="s">
        <v>451</v>
      </c>
      <c r="B35" s="74">
        <f>C14*C15*C17*C31</f>
        <v>6.3</v>
      </c>
      <c r="E35" s="78"/>
    </row>
    <row r="36" spans="1:7" x14ac:dyDescent="0.2">
      <c r="A36" s="31"/>
    </row>
    <row r="37" spans="1:7" ht="16.5" x14ac:dyDescent="0.3">
      <c r="A37" s="41" t="s">
        <v>455</v>
      </c>
      <c r="B37" s="28"/>
      <c r="C37" s="29"/>
      <c r="D37" s="29"/>
      <c r="E37" s="29"/>
      <c r="F37" s="29"/>
      <c r="G37" s="30"/>
    </row>
    <row r="38" spans="1:7" ht="13.5" thickBot="1" x14ac:dyDescent="0.25">
      <c r="A38" s="31"/>
    </row>
    <row r="39" spans="1:7" ht="13.5" thickBot="1" x14ac:dyDescent="0.25">
      <c r="A39" s="42" t="s">
        <v>456</v>
      </c>
    </row>
    <row r="40" spans="1:7" x14ac:dyDescent="0.2">
      <c r="A40" s="5" t="s">
        <v>438</v>
      </c>
    </row>
    <row r="41" spans="1:7" ht="13.5" thickBot="1" x14ac:dyDescent="0.25">
      <c r="A41" s="5" t="s">
        <v>439</v>
      </c>
    </row>
    <row r="42" spans="1:7" ht="13.5" thickBot="1" x14ac:dyDescent="0.25">
      <c r="A42" s="44" t="s">
        <v>455</v>
      </c>
      <c r="B42" s="63">
        <f>7/C18</f>
        <v>1.1666666666666667</v>
      </c>
    </row>
    <row r="44" spans="1:7" ht="16.5" x14ac:dyDescent="0.3">
      <c r="A44" s="41" t="s">
        <v>454</v>
      </c>
      <c r="B44" s="28"/>
      <c r="C44" s="29"/>
      <c r="D44" s="29"/>
      <c r="E44" s="29"/>
      <c r="F44" s="29"/>
      <c r="G44" s="30"/>
    </row>
    <row r="45" spans="1:7" ht="13.5" thickBot="1" x14ac:dyDescent="0.25">
      <c r="A45" s="31"/>
    </row>
    <row r="46" spans="1:7" ht="13.5" thickBot="1" x14ac:dyDescent="0.25">
      <c r="A46" s="38" t="s">
        <v>430</v>
      </c>
    </row>
    <row r="47" spans="1:7" x14ac:dyDescent="0.2">
      <c r="A47" s="5" t="s">
        <v>432</v>
      </c>
    </row>
    <row r="48" spans="1:7" x14ac:dyDescent="0.2">
      <c r="A48" s="5" t="s">
        <v>434</v>
      </c>
    </row>
    <row r="49" spans="1:7" x14ac:dyDescent="0.2">
      <c r="A49" s="4" t="s">
        <v>433</v>
      </c>
      <c r="B49" s="57"/>
      <c r="C49" s="57"/>
      <c r="D49" s="57"/>
      <c r="E49" s="57"/>
      <c r="F49" s="57"/>
      <c r="G49" s="57"/>
    </row>
    <row r="50" spans="1:7" ht="13.5" thickBot="1" x14ac:dyDescent="0.25">
      <c r="A50" s="5" t="s">
        <v>431</v>
      </c>
    </row>
    <row r="51" spans="1:7" ht="13.5" thickBot="1" x14ac:dyDescent="0.25">
      <c r="A51" s="48" t="s">
        <v>454</v>
      </c>
      <c r="B51" s="66" t="e">
        <f>(C13/(B35*C19))*B42</f>
        <v>#REF!</v>
      </c>
    </row>
    <row r="52" spans="1:7" ht="13.5" thickBot="1" x14ac:dyDescent="0.25">
      <c r="A52" s="48"/>
      <c r="B52" s="63"/>
    </row>
    <row r="53" spans="1:7" x14ac:dyDescent="0.2">
      <c r="A53" s="48"/>
      <c r="B53" s="23"/>
    </row>
    <row r="54" spans="1:7" ht="16.5" x14ac:dyDescent="0.2">
      <c r="A54" s="26" t="s">
        <v>457</v>
      </c>
      <c r="B54" s="25"/>
      <c r="C54" s="25"/>
      <c r="D54" s="25"/>
      <c r="E54" s="25"/>
      <c r="F54" s="25"/>
      <c r="G54" s="25"/>
    </row>
    <row r="55" spans="1:7" ht="16.5" x14ac:dyDescent="0.3">
      <c r="A55" s="41" t="s">
        <v>458</v>
      </c>
      <c r="B55" s="28"/>
      <c r="C55" s="29"/>
      <c r="D55" s="29"/>
      <c r="E55" s="29"/>
      <c r="F55" s="29"/>
      <c r="G55" s="30"/>
    </row>
    <row r="56" spans="1:7" ht="13.5" thickBot="1" x14ac:dyDescent="0.25">
      <c r="A56" s="31"/>
    </row>
    <row r="57" spans="1:7" ht="13.5" thickBot="1" x14ac:dyDescent="0.25">
      <c r="A57" s="38" t="s">
        <v>459</v>
      </c>
    </row>
    <row r="59" spans="1:7" x14ac:dyDescent="0.2">
      <c r="A59" s="5" t="s">
        <v>461</v>
      </c>
    </row>
    <row r="60" spans="1:7" x14ac:dyDescent="0.2">
      <c r="A60" s="5" t="s">
        <v>462</v>
      </c>
    </row>
    <row r="61" spans="1:7" x14ac:dyDescent="0.2">
      <c r="A61" s="5" t="s">
        <v>467</v>
      </c>
    </row>
    <row r="62" spans="1:7" x14ac:dyDescent="0.2">
      <c r="A62" s="5" t="s">
        <v>463</v>
      </c>
    </row>
    <row r="63" spans="1:7" x14ac:dyDescent="0.2">
      <c r="A63" s="5" t="s">
        <v>464</v>
      </c>
    </row>
    <row r="64" spans="1:7" x14ac:dyDescent="0.2">
      <c r="A64" s="5" t="s">
        <v>465</v>
      </c>
    </row>
    <row r="65" spans="1:7" ht="13.5" thickBot="1" x14ac:dyDescent="0.25">
      <c r="A65" s="5" t="s">
        <v>466</v>
      </c>
    </row>
    <row r="66" spans="1:7" ht="13.5" thickBot="1" x14ac:dyDescent="0.25">
      <c r="A66" s="48" t="s">
        <v>460</v>
      </c>
      <c r="B66" s="63" t="e">
        <f xml:space="preserve"> 1/C20 * ((C21/C22) + 2 * (C23/C24) + 2 * ((C25/C24) * (C26/B35)))</f>
        <v>#REF!</v>
      </c>
    </row>
    <row r="67" spans="1:7" ht="13.5" thickBot="1" x14ac:dyDescent="0.25">
      <c r="B67" s="63" t="e">
        <f>ROUNDUP(B66,0)</f>
        <v>#REF!</v>
      </c>
    </row>
    <row r="68" spans="1:7" ht="33.75" x14ac:dyDescent="0.2">
      <c r="A68" s="67" t="s">
        <v>476</v>
      </c>
    </row>
    <row r="70" spans="1:7" ht="16.5" x14ac:dyDescent="0.2">
      <c r="A70" s="26" t="s">
        <v>475</v>
      </c>
      <c r="B70" s="25"/>
      <c r="C70" s="25"/>
      <c r="D70" s="25"/>
      <c r="E70" s="25"/>
      <c r="F70" s="25"/>
      <c r="G70" s="25"/>
    </row>
    <row r="71" spans="1:7" ht="16.5" x14ac:dyDescent="0.3">
      <c r="A71" s="41" t="s">
        <v>481</v>
      </c>
      <c r="B71" s="28"/>
      <c r="C71" s="29"/>
      <c r="D71" s="29"/>
      <c r="E71" s="29"/>
      <c r="F71" s="29"/>
      <c r="G71" s="30"/>
    </row>
    <row r="72" spans="1:7" ht="13.5" thickBot="1" x14ac:dyDescent="0.25"/>
    <row r="73" spans="1:7" ht="13.5" thickBot="1" x14ac:dyDescent="0.25">
      <c r="A73" s="38" t="s">
        <v>479</v>
      </c>
    </row>
    <row r="74" spans="1:7" ht="13.5" thickBot="1" x14ac:dyDescent="0.25">
      <c r="A74" s="48" t="s">
        <v>480</v>
      </c>
      <c r="B74" s="63">
        <f>B35/C27</f>
        <v>1.575</v>
      </c>
    </row>
    <row r="75" spans="1:7" ht="13.5" thickBot="1" x14ac:dyDescent="0.25">
      <c r="B75" s="63">
        <f>ROUNDUP(B74,0)</f>
        <v>2</v>
      </c>
    </row>
    <row r="77" spans="1:7" x14ac:dyDescent="0.2">
      <c r="A77" s="35"/>
      <c r="B77" s="4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O37"/>
  <sheetViews>
    <sheetView zoomScale="70" zoomScaleNormal="70" workbookViewId="0">
      <selection activeCell="C19" sqref="C19"/>
    </sheetView>
  </sheetViews>
  <sheetFormatPr defaultColWidth="0" defaultRowHeight="12.75" zeroHeight="1" x14ac:dyDescent="0.2"/>
  <cols>
    <col min="1" max="15" width="9.140625" customWidth="1"/>
    <col min="16" max="16384" width="9.140625" hidden="1"/>
  </cols>
  <sheetData>
    <row r="1" spans="1:15" x14ac:dyDescent="0.2">
      <c r="A1" s="178"/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80"/>
    </row>
    <row r="2" spans="1:15" x14ac:dyDescent="0.2">
      <c r="A2" s="181"/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82"/>
    </row>
    <row r="3" spans="1:15" x14ac:dyDescent="0.2">
      <c r="A3" s="181"/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82"/>
    </row>
    <row r="4" spans="1:15" x14ac:dyDescent="0.2">
      <c r="A4" s="181"/>
      <c r="B4" s="159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82"/>
    </row>
    <row r="5" spans="1:15" x14ac:dyDescent="0.2">
      <c r="A5" s="181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82"/>
    </row>
    <row r="6" spans="1:15" x14ac:dyDescent="0.2">
      <c r="A6" s="181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82"/>
    </row>
    <row r="7" spans="1:15" x14ac:dyDescent="0.2">
      <c r="A7" s="181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82"/>
    </row>
    <row r="8" spans="1:15" x14ac:dyDescent="0.2">
      <c r="A8" s="181"/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82"/>
    </row>
    <row r="9" spans="1:15" x14ac:dyDescent="0.2">
      <c r="A9" s="181"/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82"/>
    </row>
    <row r="10" spans="1:15" x14ac:dyDescent="0.2">
      <c r="A10" s="181"/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82"/>
    </row>
    <row r="11" spans="1:15" x14ac:dyDescent="0.2">
      <c r="A11" s="181"/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82"/>
    </row>
    <row r="12" spans="1:15" x14ac:dyDescent="0.2">
      <c r="A12" s="181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82"/>
    </row>
    <row r="13" spans="1:15" x14ac:dyDescent="0.2">
      <c r="A13" s="181"/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82"/>
    </row>
    <row r="14" spans="1:15" x14ac:dyDescent="0.2">
      <c r="A14" s="181"/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82"/>
    </row>
    <row r="15" spans="1:15" x14ac:dyDescent="0.2">
      <c r="A15" s="181"/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82"/>
    </row>
    <row r="16" spans="1:15" x14ac:dyDescent="0.2">
      <c r="A16" s="181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82"/>
    </row>
    <row r="17" spans="1:15" x14ac:dyDescent="0.2">
      <c r="A17" s="181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82"/>
    </row>
    <row r="18" spans="1:15" x14ac:dyDescent="0.2">
      <c r="A18" s="181"/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82"/>
    </row>
    <row r="19" spans="1:15" x14ac:dyDescent="0.2">
      <c r="A19" s="181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82"/>
    </row>
    <row r="20" spans="1:15" x14ac:dyDescent="0.2">
      <c r="A20" s="181"/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82"/>
    </row>
    <row r="21" spans="1:15" x14ac:dyDescent="0.2">
      <c r="A21" s="181"/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82"/>
    </row>
    <row r="22" spans="1:15" x14ac:dyDescent="0.2">
      <c r="A22" s="181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82"/>
    </row>
    <row r="23" spans="1:15" x14ac:dyDescent="0.2">
      <c r="A23" s="181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82"/>
    </row>
    <row r="24" spans="1:15" x14ac:dyDescent="0.2">
      <c r="A24" s="181"/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82"/>
    </row>
    <row r="25" spans="1:15" x14ac:dyDescent="0.2">
      <c r="A25" s="181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82"/>
    </row>
    <row r="26" spans="1:15" x14ac:dyDescent="0.2">
      <c r="A26" s="181"/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82"/>
    </row>
    <row r="27" spans="1:15" x14ac:dyDescent="0.2">
      <c r="A27" s="181"/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82"/>
    </row>
    <row r="28" spans="1:15" x14ac:dyDescent="0.2">
      <c r="A28" s="181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82"/>
    </row>
    <row r="29" spans="1:15" x14ac:dyDescent="0.2">
      <c r="A29" s="181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82"/>
    </row>
    <row r="30" spans="1:15" ht="16.5" x14ac:dyDescent="0.2">
      <c r="A30" s="181"/>
      <c r="B30" s="159"/>
      <c r="C30" s="159"/>
      <c r="D30" s="159"/>
      <c r="E30" s="159"/>
      <c r="F30" s="159"/>
      <c r="G30" s="183"/>
      <c r="H30" s="159"/>
      <c r="I30" s="159"/>
      <c r="J30" s="159"/>
      <c r="K30" s="159"/>
      <c r="L30" s="159"/>
      <c r="M30" s="159"/>
      <c r="N30" s="159"/>
      <c r="O30" s="182"/>
    </row>
    <row r="31" spans="1:15" x14ac:dyDescent="0.2">
      <c r="A31" s="181"/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82"/>
    </row>
    <row r="32" spans="1:15" x14ac:dyDescent="0.2">
      <c r="A32" s="181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82"/>
    </row>
    <row r="33" spans="1:15" x14ac:dyDescent="0.2">
      <c r="A33" s="181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82"/>
    </row>
    <row r="34" spans="1:15" x14ac:dyDescent="0.2">
      <c r="A34" s="181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82"/>
    </row>
    <row r="35" spans="1:15" x14ac:dyDescent="0.2">
      <c r="A35" s="181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82"/>
    </row>
    <row r="36" spans="1:15" x14ac:dyDescent="0.2">
      <c r="A36" s="181"/>
      <c r="B36" s="159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82"/>
    </row>
    <row r="37" spans="1:15" ht="13.5" thickBot="1" x14ac:dyDescent="0.25">
      <c r="A37" s="184"/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6"/>
    </row>
  </sheetData>
  <printOptions horizontalCentered="1"/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J27"/>
  <sheetViews>
    <sheetView showGridLines="0" zoomScaleNormal="100" workbookViewId="0">
      <selection activeCell="C10" sqref="C10"/>
    </sheetView>
  </sheetViews>
  <sheetFormatPr defaultColWidth="0" defaultRowHeight="12.75" zeroHeight="1" x14ac:dyDescent="0.2"/>
  <cols>
    <col min="1" max="1" width="67.140625" style="791" bestFit="1" customWidth="1"/>
    <col min="2" max="3" width="14.7109375" customWidth="1"/>
    <col min="4" max="4" width="16.28515625" customWidth="1"/>
    <col min="5" max="5" width="16.28515625" style="794" bestFit="1" customWidth="1"/>
    <col min="6" max="6" width="15.85546875" hidden="1" customWidth="1"/>
    <col min="7" max="9" width="14.28515625" hidden="1" customWidth="1"/>
    <col min="10" max="10" width="10.42578125" hidden="1" customWidth="1"/>
    <col min="11" max="16384" width="9.140625" hidden="1"/>
  </cols>
  <sheetData>
    <row r="1" spans="1:10" x14ac:dyDescent="0.2">
      <c r="E1" s="793"/>
    </row>
    <row r="2" spans="1:10" x14ac:dyDescent="0.2"/>
    <row r="3" spans="1:10" x14ac:dyDescent="0.2"/>
    <row r="4" spans="1:10" x14ac:dyDescent="0.2"/>
    <row r="5" spans="1:10" x14ac:dyDescent="0.2"/>
    <row r="6" spans="1:10" ht="13.5" thickBot="1" x14ac:dyDescent="0.25"/>
    <row r="7" spans="1:10" ht="19.5" thickBot="1" x14ac:dyDescent="0.35">
      <c r="A7" s="1165" t="s">
        <v>639</v>
      </c>
      <c r="B7" s="1165"/>
      <c r="C7" s="1165"/>
      <c r="D7" s="1165"/>
      <c r="E7" s="1165"/>
      <c r="F7" s="86"/>
      <c r="G7" s="797"/>
      <c r="H7" s="797"/>
      <c r="I7" s="797"/>
      <c r="J7" s="797"/>
    </row>
    <row r="8" spans="1:10" ht="29.25" thickBot="1" x14ac:dyDescent="0.25">
      <c r="A8" s="1166" t="s">
        <v>640</v>
      </c>
      <c r="B8" s="1167" t="s">
        <v>780</v>
      </c>
      <c r="C8" s="1167" t="s">
        <v>781</v>
      </c>
      <c r="D8" s="1168" t="s">
        <v>815</v>
      </c>
      <c r="E8" s="1169" t="s">
        <v>641</v>
      </c>
      <c r="G8" s="83"/>
      <c r="H8" s="83"/>
      <c r="I8" s="83"/>
      <c r="J8" s="83"/>
    </row>
    <row r="9" spans="1:10" ht="15" thickBot="1" x14ac:dyDescent="0.25">
      <c r="A9" s="1170" t="s">
        <v>817</v>
      </c>
      <c r="B9" s="1171"/>
      <c r="C9" s="1171"/>
      <c r="D9" s="1171"/>
      <c r="E9" s="1172"/>
      <c r="G9" s="89"/>
      <c r="H9" s="90"/>
      <c r="I9" s="91"/>
      <c r="J9" s="46"/>
    </row>
    <row r="10" spans="1:10" ht="14.25" x14ac:dyDescent="0.2">
      <c r="A10" s="1173" t="s">
        <v>522</v>
      </c>
      <c r="B10" s="1174" t="s">
        <v>812</v>
      </c>
      <c r="C10" s="1175">
        <f>'6. COLETA SELETIVA'!F249</f>
        <v>1</v>
      </c>
      <c r="D10" s="1161">
        <f>'6. COLETA SELETIVA'!F248</f>
        <v>13048.860603799285</v>
      </c>
      <c r="E10" s="1162">
        <f>'6. COLETA SELETIVA'!F250</f>
        <v>13048.86</v>
      </c>
      <c r="G10" s="88"/>
      <c r="H10" s="96"/>
      <c r="I10" s="90"/>
      <c r="J10" s="46"/>
    </row>
    <row r="11" spans="1:10" x14ac:dyDescent="0.2">
      <c r="A11" s="1176" t="s">
        <v>827</v>
      </c>
      <c r="B11" s="1177" t="s">
        <v>813</v>
      </c>
      <c r="C11" s="1175">
        <f>'5. COLETA URBANA SEDE.DISTRITOS'!F255</f>
        <v>94.1</v>
      </c>
      <c r="D11" s="1161">
        <f>'5. COLETA URBANA SEDE.DISTRITOS'!F256</f>
        <v>261.79000000000002</v>
      </c>
      <c r="E11" s="1162">
        <f>'5. COLETA URBANA SEDE.DISTRITOS'!F254</f>
        <v>24634.355616695218</v>
      </c>
      <c r="G11" s="88"/>
      <c r="H11" s="88"/>
      <c r="I11" s="90"/>
    </row>
    <row r="12" spans="1:10" x14ac:dyDescent="0.2">
      <c r="A12" s="1176" t="s">
        <v>834</v>
      </c>
      <c r="B12" s="1177" t="s">
        <v>780</v>
      </c>
      <c r="C12" s="1175">
        <f>'5.1 COLETA URBANA MECANIZADA'!F212</f>
        <v>1</v>
      </c>
      <c r="D12" s="1161">
        <f>'5.1 COLETA URBANA MECANIZADA'!F211</f>
        <v>9578.9939137410092</v>
      </c>
      <c r="E12" s="1162">
        <f>'5.1 COLETA URBANA MECANIZADA'!F213</f>
        <v>9578.99</v>
      </c>
    </row>
    <row r="13" spans="1:10" x14ac:dyDescent="0.2">
      <c r="A13" s="1176" t="s">
        <v>814</v>
      </c>
      <c r="B13" s="1177" t="s">
        <v>813</v>
      </c>
      <c r="C13" s="1175">
        <f>'7. TRANSBORDO'!F257</f>
        <v>103.2</v>
      </c>
      <c r="D13" s="1163">
        <f>'7. TRANSBORDO'!F258</f>
        <v>76.883720909295079</v>
      </c>
      <c r="E13" s="1164">
        <f>'7. TRANSBORDO'!F256</f>
        <v>7934.399997839253</v>
      </c>
      <c r="G13" s="88"/>
      <c r="H13" s="88"/>
      <c r="I13" s="90"/>
    </row>
    <row r="14" spans="1:10" x14ac:dyDescent="0.2">
      <c r="A14" s="1176" t="s">
        <v>825</v>
      </c>
      <c r="B14" s="1177" t="s">
        <v>813</v>
      </c>
      <c r="C14" s="1175">
        <f>'8. TRANS. DISP. FINAL CC'!F249</f>
        <v>94.1</v>
      </c>
      <c r="D14" s="1163">
        <f>'8. TRANS. DISP. FINAL CC'!F250</f>
        <v>286.12672908016708</v>
      </c>
      <c r="E14" s="1164">
        <f>'8. TRANS. DISP. FINAL CC'!F248</f>
        <v>26924.525206443723</v>
      </c>
      <c r="G14" s="88"/>
      <c r="H14" s="88"/>
      <c r="I14" s="90"/>
    </row>
    <row r="15" spans="1:10" x14ac:dyDescent="0.2">
      <c r="A15" s="1176" t="s">
        <v>826</v>
      </c>
      <c r="B15" s="1177" t="s">
        <v>813</v>
      </c>
      <c r="C15" s="1175">
        <f>'9. TRANS. DEST. FINAL CS'!F252</f>
        <v>9.1</v>
      </c>
      <c r="D15" s="1163">
        <f>'9. TRANS. DEST. FINAL CS'!F253</f>
        <v>978.20593295502204</v>
      </c>
      <c r="E15" s="1164">
        <f>'9. TRANS. DEST. FINAL CS'!F251</f>
        <v>8901.6739898906999</v>
      </c>
      <c r="G15" s="88"/>
      <c r="H15" s="88"/>
      <c r="I15" s="90"/>
    </row>
    <row r="16" spans="1:10" x14ac:dyDescent="0.2">
      <c r="A16" s="1176" t="s">
        <v>886</v>
      </c>
      <c r="B16" s="1177" t="s">
        <v>415</v>
      </c>
      <c r="C16" s="1175">
        <f>'10.TRANS. DEST. FINAL VOL. '!F249</f>
        <v>4.05</v>
      </c>
      <c r="D16" s="1163">
        <f>'10.TRANS. DEST. FINAL VOL. '!F250</f>
        <v>424.29365450411416</v>
      </c>
      <c r="E16" s="1164">
        <f>'10.TRANS. DEST. FINAL VOL. '!F248</f>
        <v>1718.3893007416623</v>
      </c>
      <c r="G16" s="88"/>
      <c r="H16" s="88"/>
      <c r="I16" s="90"/>
    </row>
    <row r="17" spans="1:9" x14ac:dyDescent="0.2">
      <c r="A17" s="1176" t="s">
        <v>837</v>
      </c>
      <c r="B17" s="1177" t="s">
        <v>780</v>
      </c>
      <c r="C17" s="1175">
        <v>1</v>
      </c>
      <c r="D17" s="1163">
        <f>'4. ADM'!D18</f>
        <v>19515.059203373345</v>
      </c>
      <c r="E17" s="1164">
        <f>'4. ADM'!D18</f>
        <v>19515.059203373345</v>
      </c>
      <c r="G17" s="88"/>
      <c r="H17" s="88"/>
      <c r="I17" s="90"/>
    </row>
    <row r="18" spans="1:9" ht="15" thickBot="1" x14ac:dyDescent="0.25">
      <c r="A18" s="1178" t="s">
        <v>822</v>
      </c>
      <c r="B18" s="1179"/>
      <c r="C18" s="1179"/>
      <c r="D18" s="1180"/>
      <c r="E18" s="1181">
        <f>SUM(E10:E17)</f>
        <v>112256.2533149839</v>
      </c>
      <c r="G18" s="95"/>
      <c r="H18" s="68"/>
    </row>
    <row r="19" spans="1:9" x14ac:dyDescent="0.2">
      <c r="A19" s="704" t="s">
        <v>816</v>
      </c>
      <c r="B19" s="92"/>
      <c r="C19" s="92"/>
      <c r="D19" s="92"/>
      <c r="E19" s="795"/>
      <c r="F19" s="94"/>
      <c r="G19" s="3"/>
    </row>
    <row r="20" spans="1:9" x14ac:dyDescent="0.2">
      <c r="D20" s="94"/>
      <c r="E20" s="796"/>
      <c r="F20" s="94"/>
      <c r="G20" s="3"/>
      <c r="H20" s="68"/>
    </row>
    <row r="21" spans="1:9" x14ac:dyDescent="0.2">
      <c r="A21" s="792"/>
      <c r="B21" s="31"/>
      <c r="C21" s="31"/>
      <c r="D21" s="94"/>
      <c r="E21" s="796"/>
      <c r="F21" s="94"/>
      <c r="G21" s="3"/>
    </row>
    <row r="22" spans="1:9" ht="13.9" hidden="1" customHeight="1" x14ac:dyDescent="0.2">
      <c r="A22" s="792"/>
      <c r="B22" s="31"/>
      <c r="C22" s="31"/>
      <c r="D22" s="82"/>
      <c r="E22" s="796"/>
    </row>
    <row r="23" spans="1:9" hidden="1" x14ac:dyDescent="0.2">
      <c r="A23" s="792"/>
      <c r="B23" s="31"/>
      <c r="C23" s="31"/>
      <c r="D23" s="82"/>
      <c r="E23" s="796"/>
    </row>
    <row r="24" spans="1:9" hidden="1" x14ac:dyDescent="0.2">
      <c r="A24" s="792"/>
      <c r="B24" s="31"/>
      <c r="C24" s="31"/>
      <c r="D24" s="82"/>
      <c r="E24" s="796"/>
    </row>
    <row r="25" spans="1:9" hidden="1" x14ac:dyDescent="0.2">
      <c r="A25" s="792"/>
      <c r="B25" s="31"/>
      <c r="C25" s="31"/>
      <c r="D25" s="31"/>
    </row>
    <row r="26" spans="1:9" hidden="1" x14ac:dyDescent="0.2">
      <c r="D26" s="94"/>
      <c r="E26" s="796"/>
    </row>
    <row r="27" spans="1:9" hidden="1" x14ac:dyDescent="0.2">
      <c r="A27" s="792"/>
      <c r="B27" s="31"/>
      <c r="C27" s="31"/>
      <c r="D27" s="31"/>
    </row>
  </sheetData>
  <sheetProtection algorithmName="SHA-512" hashValue="4mG3+WTZcvzWTgt5DjRoPza+SJTpbGQrcN7kxNgRvEJGUYMWHIXcn/Rw8dAZ89V7D+hk5zRESw7PKzEJ39afsg==" saltValue="LbaRD8STy7cLv+d2WksEfQ==" spinCount="100000" sheet="1" objects="1" scenarios="1"/>
  <mergeCells count="3">
    <mergeCell ref="A7:E7"/>
    <mergeCell ref="G7:J7"/>
    <mergeCell ref="A18:C18"/>
  </mergeCells>
  <printOptions horizontalCentered="1"/>
  <pageMargins left="0.23622047244094491" right="0.23622047244094491" top="0.35433070866141736" bottom="0.35433070866141736" header="0.31496062992125984" footer="0.31496062992125984"/>
  <pageSetup paperSize="9" fitToHeight="0" orientation="landscape" r:id="rId1"/>
  <headerFooter alignWithMargins="0"/>
  <colBreaks count="1" manualBreakCount="1">
    <brk id="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JA32"/>
  <sheetViews>
    <sheetView showGridLines="0" zoomScale="85" zoomScaleNormal="85" workbookViewId="0">
      <selection activeCell="C9" sqref="C9:C19"/>
    </sheetView>
  </sheetViews>
  <sheetFormatPr defaultColWidth="0" defaultRowHeight="12.75" zeroHeight="1" x14ac:dyDescent="0.2"/>
  <cols>
    <col min="1" max="1" width="8.85546875" customWidth="1"/>
    <col min="2" max="2" width="29.28515625" customWidth="1"/>
    <col min="3" max="3" width="16.85546875" bestFit="1" customWidth="1"/>
    <col min="4" max="4" width="10.85546875" customWidth="1"/>
    <col min="5" max="6" width="14.7109375" customWidth="1"/>
    <col min="7" max="7" width="16.28515625" customWidth="1"/>
    <col min="8" max="8" width="16.7109375" bestFit="1" customWidth="1"/>
    <col min="9" max="12" width="16" bestFit="1" customWidth="1"/>
    <col min="13" max="16" width="19" bestFit="1" customWidth="1"/>
    <col min="17" max="18" width="15.85546875" hidden="1" customWidth="1"/>
    <col min="19" max="261" width="0" hidden="1" customWidth="1"/>
    <col min="262" max="16384" width="8.85546875" hidden="1"/>
  </cols>
  <sheetData>
    <row r="1" spans="1:16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5"/>
    </row>
    <row r="2" spans="1:16" x14ac:dyDescent="0.2">
      <c r="A2" s="106"/>
      <c r="H2" s="107"/>
      <c r="I2" s="107"/>
      <c r="P2" s="108"/>
    </row>
    <row r="3" spans="1:16" x14ac:dyDescent="0.2">
      <c r="A3" s="106"/>
      <c r="P3" s="108"/>
    </row>
    <row r="4" spans="1:16" x14ac:dyDescent="0.2">
      <c r="A4" s="106"/>
      <c r="P4" s="108"/>
    </row>
    <row r="5" spans="1:16" x14ac:dyDescent="0.2">
      <c r="A5" s="106"/>
      <c r="P5" s="108"/>
    </row>
    <row r="6" spans="1:16" ht="12.75" customHeight="1" x14ac:dyDescent="0.25">
      <c r="A6" s="188"/>
      <c r="B6" s="189"/>
      <c r="C6" s="189"/>
      <c r="D6" s="189"/>
      <c r="E6" s="798" t="s">
        <v>868</v>
      </c>
      <c r="F6" s="799"/>
      <c r="G6" s="799"/>
      <c r="H6" s="799"/>
      <c r="I6" s="799"/>
      <c r="J6" s="799"/>
      <c r="K6" s="799"/>
      <c r="L6" s="799"/>
      <c r="M6" s="799"/>
      <c r="N6" s="799"/>
      <c r="O6" s="799"/>
      <c r="P6" s="800"/>
    </row>
    <row r="7" spans="1:16" ht="19.5" customHeight="1" x14ac:dyDescent="0.2">
      <c r="A7" s="1182" t="s">
        <v>428</v>
      </c>
      <c r="B7" s="1183" t="s">
        <v>190</v>
      </c>
      <c r="C7" s="1184" t="s">
        <v>854</v>
      </c>
      <c r="D7" s="1185" t="s">
        <v>855</v>
      </c>
      <c r="E7" s="1186">
        <v>1</v>
      </c>
      <c r="F7" s="1186">
        <v>2</v>
      </c>
      <c r="G7" s="1186">
        <v>3</v>
      </c>
      <c r="H7" s="1186">
        <v>4</v>
      </c>
      <c r="I7" s="1186">
        <v>5</v>
      </c>
      <c r="J7" s="1186">
        <v>6</v>
      </c>
      <c r="K7" s="1186">
        <v>7</v>
      </c>
      <c r="L7" s="1186">
        <v>8</v>
      </c>
      <c r="M7" s="1186">
        <v>9</v>
      </c>
      <c r="N7" s="1186">
        <v>10</v>
      </c>
      <c r="O7" s="1186">
        <v>11</v>
      </c>
      <c r="P7" s="1187">
        <v>12</v>
      </c>
    </row>
    <row r="8" spans="1:16" ht="14.25" x14ac:dyDescent="0.2">
      <c r="A8" s="1188"/>
      <c r="B8" s="1189"/>
      <c r="C8" s="1184"/>
      <c r="D8" s="1185"/>
      <c r="E8" s="1190">
        <v>45383</v>
      </c>
      <c r="F8" s="1190">
        <f ca="1">OFFSET(F8,0,-1)+41-DAY(OFFSET(F8,0,-1)+40)</f>
        <v>45413</v>
      </c>
      <c r="G8" s="1190">
        <f ca="1">OFFSET(G8,0,-1)+41-DAY(OFFSET(G8,0,-1)+40)</f>
        <v>45444</v>
      </c>
      <c r="H8" s="1190">
        <f t="shared" ref="H8:P8" ca="1" si="0">OFFSET(H8,0,-1)+41-DAY(OFFSET(H8,0,-1)+40)</f>
        <v>45474</v>
      </c>
      <c r="I8" s="1190">
        <f t="shared" ca="1" si="0"/>
        <v>45505</v>
      </c>
      <c r="J8" s="1190">
        <f t="shared" ca="1" si="0"/>
        <v>45536</v>
      </c>
      <c r="K8" s="1190">
        <f t="shared" ca="1" si="0"/>
        <v>45566</v>
      </c>
      <c r="L8" s="1190">
        <f t="shared" ca="1" si="0"/>
        <v>45597</v>
      </c>
      <c r="M8" s="1190">
        <f t="shared" ca="1" si="0"/>
        <v>45627</v>
      </c>
      <c r="N8" s="1190">
        <f t="shared" ca="1" si="0"/>
        <v>45658</v>
      </c>
      <c r="O8" s="1190">
        <f t="shared" ca="1" si="0"/>
        <v>45689</v>
      </c>
      <c r="P8" s="1191">
        <f t="shared" ca="1" si="0"/>
        <v>45717</v>
      </c>
    </row>
    <row r="9" spans="1:16" s="127" customFormat="1" ht="14.25" x14ac:dyDescent="0.2">
      <c r="A9" s="1192" t="s">
        <v>2</v>
      </c>
      <c r="B9" s="1193" t="s">
        <v>817</v>
      </c>
      <c r="C9" s="1194">
        <f>SUM(C10:C17)</f>
        <v>112256.2533149839</v>
      </c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5"/>
    </row>
    <row r="10" spans="1:16" x14ac:dyDescent="0.2">
      <c r="A10" s="1196" t="s">
        <v>88</v>
      </c>
      <c r="B10" s="1197" t="s">
        <v>522</v>
      </c>
      <c r="C10" s="1198">
        <f>'1. RESUMO'!E10</f>
        <v>13048.86</v>
      </c>
      <c r="D10" s="1199" t="s">
        <v>856</v>
      </c>
      <c r="E10" s="1200">
        <v>8.3333333333333329E-2</v>
      </c>
      <c r="F10" s="1200">
        <v>8.3333333333333329E-2</v>
      </c>
      <c r="G10" s="1200">
        <v>8.3333333333333329E-2</v>
      </c>
      <c r="H10" s="1200">
        <v>8.3333333333333329E-2</v>
      </c>
      <c r="I10" s="1200">
        <v>8.3333333333333329E-2</v>
      </c>
      <c r="J10" s="1200">
        <v>8.3333333333333329E-2</v>
      </c>
      <c r="K10" s="1200">
        <v>8.3333333333333329E-2</v>
      </c>
      <c r="L10" s="1200">
        <v>8.3333333333333329E-2</v>
      </c>
      <c r="M10" s="1200">
        <v>8.3333333333333329E-2</v>
      </c>
      <c r="N10" s="1200">
        <v>8.3333333333333329E-2</v>
      </c>
      <c r="O10" s="1200">
        <v>8.3333333333333329E-2</v>
      </c>
      <c r="P10" s="1201">
        <v>8.3333333333333329E-2</v>
      </c>
    </row>
    <row r="11" spans="1:16" ht="25.5" x14ac:dyDescent="0.2">
      <c r="A11" s="1196" t="s">
        <v>89</v>
      </c>
      <c r="B11" s="1202" t="s">
        <v>827</v>
      </c>
      <c r="C11" s="1198">
        <f>'1. RESUMO'!E11</f>
        <v>24634.355616695218</v>
      </c>
      <c r="D11" s="1203"/>
      <c r="E11" s="1200">
        <v>8.3333333333333329E-2</v>
      </c>
      <c r="F11" s="1200">
        <v>8.3333333333333329E-2</v>
      </c>
      <c r="G11" s="1200">
        <v>8.3333333333333329E-2</v>
      </c>
      <c r="H11" s="1200">
        <v>8.3333333333333329E-2</v>
      </c>
      <c r="I11" s="1200">
        <v>8.3333333333333329E-2</v>
      </c>
      <c r="J11" s="1200">
        <v>8.3333333333333329E-2</v>
      </c>
      <c r="K11" s="1200">
        <v>8.3333333333333329E-2</v>
      </c>
      <c r="L11" s="1200">
        <v>8.3333333333333329E-2</v>
      </c>
      <c r="M11" s="1200">
        <v>8.3333333333333329E-2</v>
      </c>
      <c r="N11" s="1200">
        <v>8.3333333333333329E-2</v>
      </c>
      <c r="O11" s="1200">
        <v>8.3333333333333329E-2</v>
      </c>
      <c r="P11" s="1201">
        <v>8.3333333333333329E-2</v>
      </c>
    </row>
    <row r="12" spans="1:16" x14ac:dyDescent="0.2">
      <c r="A12" s="1196" t="s">
        <v>90</v>
      </c>
      <c r="B12" s="1202" t="s">
        <v>834</v>
      </c>
      <c r="C12" s="1198">
        <f>'1. RESUMO'!E12</f>
        <v>9578.99</v>
      </c>
      <c r="D12" s="1199" t="s">
        <v>856</v>
      </c>
      <c r="E12" s="1200">
        <v>8.3333333333333329E-2</v>
      </c>
      <c r="F12" s="1200">
        <v>8.3333333333333329E-2</v>
      </c>
      <c r="G12" s="1200">
        <v>8.3333333333333329E-2</v>
      </c>
      <c r="H12" s="1200">
        <v>8.3333333333333329E-2</v>
      </c>
      <c r="I12" s="1200">
        <v>8.3333333333333329E-2</v>
      </c>
      <c r="J12" s="1200">
        <v>8.3333333333333329E-2</v>
      </c>
      <c r="K12" s="1200">
        <v>8.3333333333333329E-2</v>
      </c>
      <c r="L12" s="1200">
        <v>8.3333333333333329E-2</v>
      </c>
      <c r="M12" s="1200">
        <v>8.3333333333333329E-2</v>
      </c>
      <c r="N12" s="1200">
        <v>8.3333333333333329E-2</v>
      </c>
      <c r="O12" s="1200">
        <v>8.3333333333333329E-2</v>
      </c>
      <c r="P12" s="1201">
        <v>8.3333333333333329E-2</v>
      </c>
    </row>
    <row r="13" spans="1:16" x14ac:dyDescent="0.2">
      <c r="A13" s="1196" t="s">
        <v>74</v>
      </c>
      <c r="B13" s="1202" t="s">
        <v>814</v>
      </c>
      <c r="C13" s="1198">
        <f>'1. RESUMO'!E13</f>
        <v>7934.399997839253</v>
      </c>
      <c r="D13" s="1203"/>
      <c r="E13" s="1200">
        <v>8.3333333333333329E-2</v>
      </c>
      <c r="F13" s="1200">
        <v>8.3333333333333329E-2</v>
      </c>
      <c r="G13" s="1200">
        <v>8.3333333333333329E-2</v>
      </c>
      <c r="H13" s="1200">
        <v>8.3333333333333329E-2</v>
      </c>
      <c r="I13" s="1200">
        <v>8.3333333333333329E-2</v>
      </c>
      <c r="J13" s="1200">
        <v>8.3333333333333329E-2</v>
      </c>
      <c r="K13" s="1200">
        <v>8.3333333333333329E-2</v>
      </c>
      <c r="L13" s="1200">
        <v>8.3333333333333329E-2</v>
      </c>
      <c r="M13" s="1200">
        <v>8.3333333333333329E-2</v>
      </c>
      <c r="N13" s="1200">
        <v>8.3333333333333329E-2</v>
      </c>
      <c r="O13" s="1200">
        <v>8.3333333333333329E-2</v>
      </c>
      <c r="P13" s="1201">
        <v>8.3333333333333329E-2</v>
      </c>
    </row>
    <row r="14" spans="1:16" ht="25.5" x14ac:dyDescent="0.2">
      <c r="A14" s="1196" t="s">
        <v>612</v>
      </c>
      <c r="B14" s="1202" t="s">
        <v>825</v>
      </c>
      <c r="C14" s="1198">
        <f>'1. RESUMO'!E14</f>
        <v>26924.525206443723</v>
      </c>
      <c r="D14" s="1199" t="s">
        <v>856</v>
      </c>
      <c r="E14" s="1200">
        <v>8.3333333333333329E-2</v>
      </c>
      <c r="F14" s="1200">
        <v>8.3333333333333329E-2</v>
      </c>
      <c r="G14" s="1200">
        <v>8.3333333333333329E-2</v>
      </c>
      <c r="H14" s="1200">
        <v>8.3333333333333329E-2</v>
      </c>
      <c r="I14" s="1200">
        <v>8.3333333333333329E-2</v>
      </c>
      <c r="J14" s="1200">
        <v>8.3333333333333329E-2</v>
      </c>
      <c r="K14" s="1200">
        <v>8.3333333333333329E-2</v>
      </c>
      <c r="L14" s="1200">
        <v>8.3333333333333329E-2</v>
      </c>
      <c r="M14" s="1200">
        <v>8.3333333333333329E-2</v>
      </c>
      <c r="N14" s="1200">
        <v>8.3333333333333329E-2</v>
      </c>
      <c r="O14" s="1200">
        <v>8.3333333333333329E-2</v>
      </c>
      <c r="P14" s="1201">
        <v>8.3333333333333329E-2</v>
      </c>
    </row>
    <row r="15" spans="1:16" ht="25.5" x14ac:dyDescent="0.2">
      <c r="A15" s="1196" t="s">
        <v>613</v>
      </c>
      <c r="B15" s="1202" t="s">
        <v>826</v>
      </c>
      <c r="C15" s="1198">
        <f>'1. RESUMO'!E15</f>
        <v>8901.6739898906999</v>
      </c>
      <c r="D15" s="1199" t="s">
        <v>856</v>
      </c>
      <c r="E15" s="1200">
        <v>8.3333333333333329E-2</v>
      </c>
      <c r="F15" s="1200">
        <v>8.3333333333333329E-2</v>
      </c>
      <c r="G15" s="1200">
        <v>8.3333333333333329E-2</v>
      </c>
      <c r="H15" s="1200">
        <v>8.3333333333333329E-2</v>
      </c>
      <c r="I15" s="1200">
        <v>8.3333333333333329E-2</v>
      </c>
      <c r="J15" s="1200">
        <v>8.3333333333333329E-2</v>
      </c>
      <c r="K15" s="1200">
        <v>8.3333333333333329E-2</v>
      </c>
      <c r="L15" s="1200">
        <v>8.3333333333333329E-2</v>
      </c>
      <c r="M15" s="1200">
        <v>8.3333333333333329E-2</v>
      </c>
      <c r="N15" s="1200">
        <v>8.3333333333333329E-2</v>
      </c>
      <c r="O15" s="1200">
        <v>8.3333333333333329E-2</v>
      </c>
      <c r="P15" s="1201">
        <v>8.3333333333333329E-2</v>
      </c>
    </row>
    <row r="16" spans="1:16" ht="25.5" customHeight="1" x14ac:dyDescent="0.2">
      <c r="A16" s="1196" t="s">
        <v>614</v>
      </c>
      <c r="B16" s="1202" t="s">
        <v>886</v>
      </c>
      <c r="C16" s="1198">
        <f>'1. RESUMO'!E16</f>
        <v>1718.3893007416623</v>
      </c>
      <c r="D16" s="1199" t="s">
        <v>856</v>
      </c>
      <c r="E16" s="1200">
        <v>8.3333333333333329E-2</v>
      </c>
      <c r="F16" s="1200">
        <v>8.3333333333333329E-2</v>
      </c>
      <c r="G16" s="1200">
        <v>8.3333333333333329E-2</v>
      </c>
      <c r="H16" s="1200">
        <v>8.3333333333333329E-2</v>
      </c>
      <c r="I16" s="1200">
        <v>8.3333333333333329E-2</v>
      </c>
      <c r="J16" s="1200">
        <v>8.3333333333333329E-2</v>
      </c>
      <c r="K16" s="1200">
        <v>8.3333333333333329E-2</v>
      </c>
      <c r="L16" s="1200">
        <v>8.3333333333333329E-2</v>
      </c>
      <c r="M16" s="1200">
        <v>8.3333333333333329E-2</v>
      </c>
      <c r="N16" s="1200">
        <v>8.3333333333333329E-2</v>
      </c>
      <c r="O16" s="1200">
        <v>8.3333333333333329E-2</v>
      </c>
      <c r="P16" s="1201">
        <v>8.3333333333333329E-2</v>
      </c>
    </row>
    <row r="17" spans="1:16" ht="14.25" customHeight="1" x14ac:dyDescent="0.2">
      <c r="A17" s="1196" t="s">
        <v>802</v>
      </c>
      <c r="B17" s="1202" t="s">
        <v>848</v>
      </c>
      <c r="C17" s="1198">
        <f>'1. RESUMO'!E17</f>
        <v>19515.059203373345</v>
      </c>
      <c r="D17" s="1204" t="s">
        <v>856</v>
      </c>
      <c r="E17" s="1200">
        <v>8.3333333333333329E-2</v>
      </c>
      <c r="F17" s="1200">
        <v>8.3333333333333329E-2</v>
      </c>
      <c r="G17" s="1200">
        <v>8.3333333333333329E-2</v>
      </c>
      <c r="H17" s="1200">
        <v>8.3333333333333329E-2</v>
      </c>
      <c r="I17" s="1200">
        <v>8.3333333333333329E-2</v>
      </c>
      <c r="J17" s="1200">
        <v>8.3333333333333329E-2</v>
      </c>
      <c r="K17" s="1200">
        <v>8.3333333333333329E-2</v>
      </c>
      <c r="L17" s="1200">
        <v>8.3333333333333329E-2</v>
      </c>
      <c r="M17" s="1200">
        <v>8.3333333333333329E-2</v>
      </c>
      <c r="N17" s="1200">
        <v>8.3333333333333329E-2</v>
      </c>
      <c r="O17" s="1200">
        <v>8.3333333333333329E-2</v>
      </c>
      <c r="P17" s="1201">
        <v>8.3333333333333329E-2</v>
      </c>
    </row>
    <row r="18" spans="1:16" x14ac:dyDescent="0.2">
      <c r="A18" s="1205"/>
      <c r="B18" s="1206" t="s">
        <v>853</v>
      </c>
      <c r="C18" s="1207"/>
      <c r="D18" s="1203"/>
      <c r="E18" s="1200"/>
      <c r="F18" s="1200"/>
      <c r="G18" s="1200"/>
      <c r="H18" s="1200"/>
      <c r="I18" s="1200"/>
      <c r="J18" s="1200"/>
      <c r="K18" s="1200"/>
      <c r="L18" s="1200"/>
      <c r="M18" s="1200"/>
      <c r="N18" s="1200"/>
      <c r="O18" s="1200"/>
      <c r="P18" s="1201"/>
    </row>
    <row r="19" spans="1:16" s="159" customFormat="1" ht="12.75" customHeight="1" x14ac:dyDescent="0.3">
      <c r="A19" s="1208" t="s">
        <v>859</v>
      </c>
      <c r="B19" s="1209"/>
      <c r="C19" s="1210">
        <f>C9</f>
        <v>112256.2533149839</v>
      </c>
      <c r="D19" s="1211"/>
      <c r="E19" s="1212">
        <f>C19</f>
        <v>112256.2533149839</v>
      </c>
      <c r="F19" s="1212">
        <f t="shared" ref="F19:P19" si="1">E19</f>
        <v>112256.2533149839</v>
      </c>
      <c r="G19" s="1212">
        <f t="shared" si="1"/>
        <v>112256.2533149839</v>
      </c>
      <c r="H19" s="1212">
        <f t="shared" si="1"/>
        <v>112256.2533149839</v>
      </c>
      <c r="I19" s="1212">
        <f t="shared" si="1"/>
        <v>112256.2533149839</v>
      </c>
      <c r="J19" s="1212">
        <f t="shared" si="1"/>
        <v>112256.2533149839</v>
      </c>
      <c r="K19" s="1212">
        <f t="shared" si="1"/>
        <v>112256.2533149839</v>
      </c>
      <c r="L19" s="1212">
        <f t="shared" si="1"/>
        <v>112256.2533149839</v>
      </c>
      <c r="M19" s="1212">
        <f t="shared" si="1"/>
        <v>112256.2533149839</v>
      </c>
      <c r="N19" s="1212">
        <f t="shared" si="1"/>
        <v>112256.2533149839</v>
      </c>
      <c r="O19" s="1212">
        <f t="shared" si="1"/>
        <v>112256.2533149839</v>
      </c>
      <c r="P19" s="1213">
        <f t="shared" si="1"/>
        <v>112256.2533149839</v>
      </c>
    </row>
    <row r="20" spans="1:16" ht="13.9" customHeight="1" x14ac:dyDescent="0.2">
      <c r="A20" s="1214"/>
      <c r="B20" s="1215"/>
      <c r="C20" s="1216"/>
      <c r="D20" s="1217"/>
      <c r="E20" s="1218"/>
      <c r="F20" s="1218"/>
      <c r="G20" s="1218"/>
      <c r="H20" s="1218"/>
      <c r="I20" s="1218"/>
      <c r="J20" s="1218"/>
      <c r="K20" s="1218"/>
      <c r="L20" s="1218"/>
      <c r="M20" s="1218"/>
      <c r="N20" s="1218"/>
      <c r="O20" s="1218"/>
      <c r="P20" s="1219"/>
    </row>
    <row r="21" spans="1:16" ht="16.5" x14ac:dyDescent="0.3">
      <c r="A21" s="1220"/>
      <c r="B21" s="1221"/>
      <c r="C21" s="1222" t="s">
        <v>857</v>
      </c>
      <c r="D21" s="1223" t="s">
        <v>858</v>
      </c>
      <c r="E21" s="1224">
        <v>8.3333332999999996E-2</v>
      </c>
      <c r="F21" s="1224">
        <f>E21+E21</f>
        <v>0.16666666599999999</v>
      </c>
      <c r="G21" s="1224">
        <f>F21+$E$21</f>
        <v>0.24999999899999997</v>
      </c>
      <c r="H21" s="1224">
        <f t="shared" ref="H21:P21" si="2">G21+$E$21</f>
        <v>0.33333333199999998</v>
      </c>
      <c r="I21" s="1224">
        <f t="shared" si="2"/>
        <v>0.41666666499999999</v>
      </c>
      <c r="J21" s="1224">
        <f t="shared" si="2"/>
        <v>0.499999998</v>
      </c>
      <c r="K21" s="1224">
        <f t="shared" si="2"/>
        <v>0.58333333099999995</v>
      </c>
      <c r="L21" s="1224">
        <f t="shared" si="2"/>
        <v>0.66666666399999996</v>
      </c>
      <c r="M21" s="1224">
        <f t="shared" si="2"/>
        <v>0.74999999699999997</v>
      </c>
      <c r="N21" s="1224">
        <f t="shared" si="2"/>
        <v>0.83333332999999998</v>
      </c>
      <c r="O21" s="1224">
        <f t="shared" si="2"/>
        <v>0.91666666299999999</v>
      </c>
      <c r="P21" s="1225">
        <f t="shared" si="2"/>
        <v>0.999999996</v>
      </c>
    </row>
    <row r="22" spans="1:16" ht="16.5" x14ac:dyDescent="0.3">
      <c r="A22" s="1220"/>
      <c r="B22" s="1221"/>
      <c r="C22" s="1222"/>
      <c r="D22" s="1223" t="s">
        <v>860</v>
      </c>
      <c r="E22" s="1226">
        <f>C19</f>
        <v>112256.2533149839</v>
      </c>
      <c r="F22" s="1227">
        <f>E22+E22</f>
        <v>224512.5066299678</v>
      </c>
      <c r="G22" s="1228">
        <f>F22+E22</f>
        <v>336768.75994495169</v>
      </c>
      <c r="H22" s="1228">
        <f>G22+$E$22</f>
        <v>449025.0132599356</v>
      </c>
      <c r="I22" s="1228">
        <f>H22+$E$22</f>
        <v>561281.26657491946</v>
      </c>
      <c r="J22" s="1228">
        <f>I22+$E$22</f>
        <v>673537.51988990337</v>
      </c>
      <c r="K22" s="1228">
        <f>J22+$E$22</f>
        <v>785793.77320488729</v>
      </c>
      <c r="L22" s="1228">
        <f>K22+$E$22</f>
        <v>898050.0265198712</v>
      </c>
      <c r="M22" s="1228">
        <f>L22+E22</f>
        <v>1010306.2798348551</v>
      </c>
      <c r="N22" s="1228">
        <f>M22+E22</f>
        <v>1122562.5331498389</v>
      </c>
      <c r="O22" s="1228">
        <f>N22+E22</f>
        <v>1234818.7864648227</v>
      </c>
      <c r="P22" s="1229">
        <f>O22+E22</f>
        <v>1347075.0397798065</v>
      </c>
    </row>
    <row r="23" spans="1:16" x14ac:dyDescent="0.2">
      <c r="A23" s="109"/>
      <c r="B23" s="107"/>
      <c r="P23" s="108"/>
    </row>
    <row r="24" spans="1:16" x14ac:dyDescent="0.2">
      <c r="A24" s="109"/>
      <c r="B24" s="107"/>
      <c r="P24" s="108"/>
    </row>
    <row r="25" spans="1:16" x14ac:dyDescent="0.2">
      <c r="A25" s="109"/>
      <c r="B25" s="107"/>
      <c r="P25" s="108"/>
    </row>
    <row r="26" spans="1:16" x14ac:dyDescent="0.2">
      <c r="A26" s="106"/>
      <c r="P26" s="108"/>
    </row>
    <row r="27" spans="1:16" x14ac:dyDescent="0.2">
      <c r="A27" s="106"/>
      <c r="P27" s="108"/>
    </row>
    <row r="28" spans="1:16" ht="15" x14ac:dyDescent="0.2">
      <c r="A28" s="803" t="s">
        <v>922</v>
      </c>
      <c r="B28" s="804"/>
      <c r="C28" s="804"/>
      <c r="D28" s="110"/>
      <c r="E28" s="102"/>
      <c r="F28" s="102"/>
      <c r="G28" s="102"/>
      <c r="H28" s="102"/>
      <c r="P28" s="108"/>
    </row>
    <row r="29" spans="1:16" x14ac:dyDescent="0.2">
      <c r="A29" s="111" t="s">
        <v>849</v>
      </c>
      <c r="B29" s="110"/>
      <c r="C29" s="110"/>
      <c r="D29" s="110"/>
      <c r="E29" s="101" t="s">
        <v>850</v>
      </c>
      <c r="F29" s="101"/>
      <c r="G29" s="101"/>
      <c r="H29" s="101"/>
      <c r="P29" s="108"/>
    </row>
    <row r="30" spans="1:16" x14ac:dyDescent="0.2">
      <c r="A30" s="112"/>
      <c r="B30" s="110"/>
      <c r="C30" s="110"/>
      <c r="D30" s="110"/>
      <c r="E30" s="98" t="s">
        <v>923</v>
      </c>
      <c r="F30" s="99"/>
      <c r="G30" s="110"/>
      <c r="H30" s="100"/>
      <c r="P30" s="108"/>
    </row>
    <row r="31" spans="1:16" x14ac:dyDescent="0.2">
      <c r="A31" s="801">
        <f ca="1">TODAY()</f>
        <v>45597</v>
      </c>
      <c r="B31" s="802"/>
      <c r="C31" s="802"/>
      <c r="D31" s="110"/>
      <c r="E31" s="113" t="s">
        <v>925</v>
      </c>
      <c r="F31" s="99"/>
      <c r="G31" s="100"/>
      <c r="H31" s="100"/>
      <c r="P31" s="108"/>
    </row>
    <row r="32" spans="1:16" ht="13.5" thickBot="1" x14ac:dyDescent="0.25">
      <c r="A32" s="114" t="s">
        <v>851</v>
      </c>
      <c r="B32" s="115"/>
      <c r="C32" s="115"/>
      <c r="D32" s="116"/>
      <c r="E32" s="117" t="s">
        <v>924</v>
      </c>
      <c r="F32" s="118"/>
      <c r="G32" s="119"/>
      <c r="H32" s="119"/>
      <c r="I32" s="120"/>
      <c r="J32" s="120"/>
      <c r="K32" s="120"/>
      <c r="L32" s="120"/>
      <c r="M32" s="120"/>
      <c r="N32" s="120"/>
      <c r="O32" s="120"/>
      <c r="P32" s="121"/>
    </row>
  </sheetData>
  <sheetProtection algorithmName="SHA-512" hashValue="UaMP41BlKueVGuxJVKfiyc/kIzvcQLwq0Qb44D0VK/4q/yu5s9WoMKUZUuXt45KSTkEM42bS6qrVtjeEk17T9Q==" saltValue="BOMPdhomI9hEdX9uEdDt7w==" spinCount="100000" sheet="1" objects="1" scenarios="1"/>
  <mergeCells count="8">
    <mergeCell ref="E6:P6"/>
    <mergeCell ref="A31:C31"/>
    <mergeCell ref="A7:A8"/>
    <mergeCell ref="B7:B8"/>
    <mergeCell ref="C7:C8"/>
    <mergeCell ref="D7:D8"/>
    <mergeCell ref="C21:C22"/>
    <mergeCell ref="A28:C28"/>
  </mergeCells>
  <conditionalFormatting sqref="G21:P22">
    <cfRule type="expression" dxfId="0" priority="38" stopIfTrue="1">
      <formula>OFFSET(#REF!,0,-1)&gt;=1</formula>
    </cfRule>
  </conditionalFormatting>
  <dataValidations count="3">
    <dataValidation type="date" operator="greaterThan" allowBlank="1" showInputMessage="1" showErrorMessage="1" errorTitle="Erro" error="Digite somente datas." sqref="E8">
      <formula1>36526</formula1>
    </dataValidation>
    <dataValidation type="whole" operator="greaterThan" allowBlank="1" showErrorMessage="1" sqref="E7">
      <formula1>0</formula1>
      <formula2>0</formula2>
    </dataValidation>
    <dataValidation type="decimal" allowBlank="1" showErrorMessage="1" error="Porcentagem Acumulada &gt; 100%." sqref="E9:P9">
      <formula1>0</formula1>
      <formula2>CRONO.MaxParc</formula2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9" scale="54" fitToHeight="0" orientation="landscape" r:id="rId1"/>
  <headerFooter alignWithMargins="0"/>
  <colBreaks count="1" manualBreakCount="1">
    <brk id="8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BF279"/>
  <sheetViews>
    <sheetView showGridLines="0" view="pageBreakPreview" topLeftCell="B1" zoomScaleNormal="100" zoomScaleSheetLayoutView="100" workbookViewId="0">
      <selection activeCell="B7" sqref="B7:M279"/>
    </sheetView>
  </sheetViews>
  <sheetFormatPr defaultColWidth="11.42578125" defaultRowHeight="12.75" x14ac:dyDescent="0.2"/>
  <cols>
    <col min="1" max="1" width="4.85546875" style="92" hidden="1" customWidth="1"/>
    <col min="2" max="2" width="35.140625" style="125" customWidth="1"/>
    <col min="3" max="3" width="15.42578125" style="92" customWidth="1"/>
    <col min="4" max="7" width="15" style="87" customWidth="1"/>
    <col min="8" max="8" width="20" style="87" customWidth="1"/>
    <col min="9" max="9" width="18.28515625" style="87" customWidth="1"/>
    <col min="10" max="10" width="16.5703125" style="87" bestFit="1" customWidth="1"/>
    <col min="11" max="11" width="15" style="87" customWidth="1"/>
    <col min="12" max="12" width="12.7109375" style="87" customWidth="1"/>
    <col min="13" max="13" width="12.85546875" style="87" customWidth="1"/>
    <col min="14" max="14" width="12.7109375" style="87" customWidth="1"/>
    <col min="15" max="15" width="12" style="87" customWidth="1"/>
    <col min="16" max="17" width="12.7109375" style="87" customWidth="1"/>
    <col min="18" max="19" width="13.42578125" style="87" customWidth="1"/>
    <col min="20" max="20" width="12" style="87" customWidth="1"/>
    <col min="21" max="21" width="12.140625" style="92" customWidth="1"/>
    <col min="22" max="22" width="14.5703125" style="92" customWidth="1"/>
    <col min="23" max="23" width="11.42578125" style="92" customWidth="1"/>
    <col min="24" max="24" width="12.42578125" style="92" customWidth="1"/>
    <col min="25" max="39" width="11.42578125" style="92" customWidth="1"/>
    <col min="40" max="16384" width="11.42578125" style="92"/>
  </cols>
  <sheetData>
    <row r="1" spans="1:58" x14ac:dyDescent="0.2">
      <c r="B1" s="123"/>
      <c r="C1" s="124"/>
    </row>
    <row r="2" spans="1:58" x14ac:dyDescent="0.2">
      <c r="B2" s="123"/>
      <c r="C2" s="124"/>
    </row>
    <row r="3" spans="1:58" x14ac:dyDescent="0.2">
      <c r="C3" s="124"/>
    </row>
    <row r="4" spans="1:58" x14ac:dyDescent="0.2">
      <c r="C4" s="124"/>
    </row>
    <row r="5" spans="1:58" x14ac:dyDescent="0.2">
      <c r="C5" s="124"/>
    </row>
    <row r="6" spans="1:58" x14ac:dyDescent="0.2">
      <c r="B6" s="123"/>
      <c r="C6" s="124"/>
    </row>
    <row r="7" spans="1:58" s="162" customFormat="1" ht="15" x14ac:dyDescent="0.2">
      <c r="A7" s="160">
        <v>1</v>
      </c>
      <c r="B7" s="1230" t="s">
        <v>22</v>
      </c>
      <c r="C7" s="1231"/>
      <c r="D7" s="1232"/>
      <c r="E7" s="1232"/>
      <c r="F7" s="1232"/>
      <c r="G7" s="1232"/>
      <c r="H7" s="1232"/>
      <c r="I7" s="1232"/>
      <c r="J7" s="1232"/>
      <c r="K7" s="1232"/>
      <c r="L7" s="1232"/>
      <c r="M7" s="1232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92"/>
      <c r="AO7" s="92"/>
      <c r="AP7" s="92"/>
      <c r="AQ7" s="92"/>
      <c r="AR7" s="92"/>
      <c r="AS7" s="92"/>
      <c r="AT7" s="92"/>
      <c r="AU7" s="92"/>
    </row>
    <row r="8" spans="1:58" s="130" customFormat="1" ht="15" x14ac:dyDescent="0.25">
      <c r="A8" s="128"/>
      <c r="B8" s="1233" t="s">
        <v>263</v>
      </c>
      <c r="C8" s="1234" t="s">
        <v>22</v>
      </c>
      <c r="D8" s="1235"/>
      <c r="E8" s="1235"/>
      <c r="F8" s="1235"/>
      <c r="G8" s="1235"/>
      <c r="H8" s="1236"/>
      <c r="I8" s="1236"/>
      <c r="J8" s="1236"/>
      <c r="K8" s="1236"/>
      <c r="L8" s="1236"/>
      <c r="M8" s="1236"/>
      <c r="N8" s="191"/>
      <c r="O8" s="190"/>
      <c r="P8" s="190"/>
      <c r="Q8" s="190"/>
      <c r="R8" s="190"/>
      <c r="S8" s="190"/>
      <c r="T8" s="190"/>
      <c r="U8" s="192"/>
      <c r="V8" s="192"/>
      <c r="W8" s="192"/>
      <c r="X8" s="192"/>
      <c r="Y8" s="192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92"/>
      <c r="AO8" s="92"/>
      <c r="AP8" s="92"/>
      <c r="AQ8" s="92"/>
      <c r="AR8" s="92"/>
      <c r="AS8" s="92"/>
      <c r="AT8" s="92"/>
      <c r="AU8" s="92"/>
    </row>
    <row r="9" spans="1:58" ht="14.25" x14ac:dyDescent="0.2">
      <c r="A9" s="131" t="s">
        <v>88</v>
      </c>
      <c r="B9" s="1237" t="s">
        <v>257</v>
      </c>
      <c r="C9" s="1238">
        <v>0.4</v>
      </c>
      <c r="D9" s="1239"/>
      <c r="E9" s="1239"/>
      <c r="F9" s="1239"/>
      <c r="G9" s="1239"/>
      <c r="H9" s="1236"/>
      <c r="I9" s="1236"/>
      <c r="J9" s="1236"/>
      <c r="K9" s="1236"/>
      <c r="L9" s="1236"/>
      <c r="M9" s="1236"/>
      <c r="N9" s="191"/>
      <c r="O9" s="193"/>
      <c r="P9" s="193"/>
      <c r="Q9" s="193"/>
      <c r="R9" s="193"/>
      <c r="S9" s="193"/>
      <c r="T9" s="193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</row>
    <row r="10" spans="1:58" ht="14.25" x14ac:dyDescent="0.2">
      <c r="A10" s="131" t="s">
        <v>88</v>
      </c>
      <c r="B10" s="1237" t="s">
        <v>258</v>
      </c>
      <c r="C10" s="1238">
        <v>0.4</v>
      </c>
      <c r="D10" s="1239"/>
      <c r="E10" s="1240"/>
      <c r="F10" s="1239"/>
      <c r="G10" s="1239"/>
      <c r="H10" s="1236"/>
      <c r="I10" s="1236"/>
      <c r="J10" s="1236"/>
      <c r="K10" s="1239"/>
      <c r="L10" s="1239"/>
      <c r="M10" s="1239"/>
      <c r="N10" s="193"/>
      <c r="O10" s="686"/>
      <c r="P10" s="686"/>
      <c r="Q10" s="686"/>
      <c r="R10" s="686"/>
      <c r="S10" s="686"/>
      <c r="T10" s="686"/>
      <c r="U10" s="687"/>
      <c r="V10" s="687"/>
      <c r="W10" s="687"/>
      <c r="X10" s="687"/>
      <c r="Y10" s="687"/>
      <c r="Z10" s="687"/>
      <c r="AA10" s="687"/>
      <c r="AB10" s="687"/>
      <c r="AC10" s="687"/>
      <c r="AD10" s="687"/>
      <c r="AE10" s="687"/>
      <c r="AF10" s="687"/>
      <c r="AG10" s="687"/>
      <c r="AH10" s="687"/>
      <c r="AI10" s="687"/>
      <c r="AJ10" s="687"/>
      <c r="AK10" s="687"/>
      <c r="AL10" s="687"/>
      <c r="AM10" s="687"/>
      <c r="AN10" s="688"/>
      <c r="AO10" s="688"/>
      <c r="AP10" s="688"/>
      <c r="AQ10" s="688"/>
      <c r="AR10" s="688"/>
      <c r="BB10" s="132"/>
      <c r="BC10" s="132"/>
      <c r="BD10" s="133"/>
      <c r="BE10" s="134"/>
      <c r="BF10" s="135"/>
    </row>
    <row r="11" spans="1:58" ht="14.25" x14ac:dyDescent="0.2">
      <c r="A11" s="131" t="s">
        <v>88</v>
      </c>
      <c r="B11" s="1237" t="s">
        <v>259</v>
      </c>
      <c r="C11" s="1238">
        <v>0.4</v>
      </c>
      <c r="D11" s="1241"/>
      <c r="E11" s="1239"/>
      <c r="F11" s="1239"/>
      <c r="G11" s="1239"/>
      <c r="H11" s="1239"/>
      <c r="I11" s="1239"/>
      <c r="J11" s="1239"/>
      <c r="K11" s="1239"/>
      <c r="L11" s="1239"/>
      <c r="M11" s="1239"/>
      <c r="N11" s="193"/>
      <c r="O11" s="686"/>
      <c r="P11" s="686"/>
      <c r="Q11" s="686"/>
      <c r="R11" s="686"/>
      <c r="S11" s="686"/>
      <c r="T11" s="686"/>
      <c r="U11" s="687"/>
      <c r="V11" s="687"/>
      <c r="W11" s="687"/>
      <c r="X11" s="687"/>
      <c r="Y11" s="687"/>
      <c r="Z11" s="687"/>
      <c r="AA11" s="687"/>
      <c r="AB11" s="687"/>
      <c r="AC11" s="687"/>
      <c r="AD11" s="687"/>
      <c r="AE11" s="687"/>
      <c r="AF11" s="687"/>
      <c r="AG11" s="687"/>
      <c r="AH11" s="687"/>
      <c r="AI11" s="687"/>
      <c r="AJ11" s="687"/>
      <c r="AK11" s="687"/>
      <c r="AL11" s="687"/>
      <c r="AM11" s="687"/>
      <c r="AN11" s="688"/>
      <c r="AO11" s="688"/>
      <c r="AP11" s="688"/>
      <c r="AQ11" s="688"/>
      <c r="AR11" s="688"/>
      <c r="BB11" s="133"/>
      <c r="BC11" s="133"/>
      <c r="BD11" s="132"/>
      <c r="BE11" s="135"/>
      <c r="BF11" s="134"/>
    </row>
    <row r="12" spans="1:58" ht="14.25" x14ac:dyDescent="0.2">
      <c r="A12" s="131" t="s">
        <v>88</v>
      </c>
      <c r="B12" s="1237" t="s">
        <v>260</v>
      </c>
      <c r="C12" s="1238">
        <v>0.4</v>
      </c>
      <c r="D12" s="1239"/>
      <c r="E12" s="1239"/>
      <c r="F12" s="1239"/>
      <c r="G12" s="1239"/>
      <c r="H12" s="1239"/>
      <c r="I12" s="1239"/>
      <c r="J12" s="1239"/>
      <c r="K12" s="1239"/>
      <c r="L12" s="1239"/>
      <c r="M12" s="1239"/>
      <c r="N12" s="193"/>
      <c r="O12" s="686"/>
      <c r="P12" s="686"/>
      <c r="Q12" s="686"/>
      <c r="R12" s="686"/>
      <c r="S12" s="686"/>
      <c r="T12" s="686"/>
      <c r="U12" s="687"/>
      <c r="V12" s="687"/>
      <c r="W12" s="687"/>
      <c r="X12" s="687"/>
      <c r="Y12" s="687"/>
      <c r="Z12" s="687"/>
      <c r="AA12" s="687"/>
      <c r="AB12" s="687"/>
      <c r="AC12" s="687"/>
      <c r="AD12" s="687"/>
      <c r="AE12" s="687"/>
      <c r="AF12" s="687"/>
      <c r="AG12" s="687"/>
      <c r="AH12" s="687"/>
      <c r="AI12" s="687"/>
      <c r="AJ12" s="687"/>
      <c r="AK12" s="687"/>
      <c r="AL12" s="687"/>
      <c r="AM12" s="687"/>
      <c r="AN12" s="688"/>
      <c r="AO12" s="688"/>
      <c r="AP12" s="688"/>
      <c r="AQ12" s="688"/>
      <c r="AR12" s="688"/>
      <c r="BB12" s="132"/>
      <c r="BC12" s="132"/>
      <c r="BD12" s="133"/>
      <c r="BE12" s="134"/>
      <c r="BF12" s="135"/>
    </row>
    <row r="13" spans="1:58" ht="14.25" x14ac:dyDescent="0.2">
      <c r="A13" s="131" t="s">
        <v>88</v>
      </c>
      <c r="B13" s="1242" t="s">
        <v>281</v>
      </c>
      <c r="C13" s="1238">
        <v>0.4</v>
      </c>
      <c r="D13" s="1239"/>
      <c r="E13" s="1239"/>
      <c r="F13" s="1239"/>
      <c r="G13" s="1239"/>
      <c r="H13" s="1243"/>
      <c r="I13" s="1239"/>
      <c r="J13" s="1239"/>
      <c r="K13" s="1239"/>
      <c r="L13" s="1239"/>
      <c r="M13" s="1239"/>
      <c r="N13" s="193"/>
      <c r="O13" s="686"/>
      <c r="P13" s="686"/>
      <c r="Q13" s="686"/>
      <c r="R13" s="686"/>
      <c r="S13" s="686"/>
      <c r="T13" s="686"/>
      <c r="U13" s="687"/>
      <c r="V13" s="687"/>
      <c r="W13" s="687"/>
      <c r="X13" s="687"/>
      <c r="Y13" s="687"/>
      <c r="Z13" s="687"/>
      <c r="AA13" s="687"/>
      <c r="AB13" s="687"/>
      <c r="AC13" s="687"/>
      <c r="AD13" s="687"/>
      <c r="AE13" s="687"/>
      <c r="AF13" s="687"/>
      <c r="AG13" s="687"/>
      <c r="AH13" s="687"/>
      <c r="AI13" s="687"/>
      <c r="AJ13" s="687"/>
      <c r="AK13" s="687"/>
      <c r="AL13" s="687"/>
      <c r="AM13" s="687"/>
      <c r="AN13" s="688"/>
      <c r="AO13" s="688"/>
      <c r="AP13" s="688"/>
      <c r="AQ13" s="688"/>
      <c r="AR13" s="688"/>
      <c r="BB13" s="133"/>
      <c r="BC13" s="133"/>
      <c r="BD13" s="132"/>
      <c r="BE13" s="133"/>
      <c r="BF13" s="132"/>
    </row>
    <row r="14" spans="1:58" ht="14.25" x14ac:dyDescent="0.2">
      <c r="A14" s="131" t="s">
        <v>88</v>
      </c>
      <c r="B14" s="1237" t="s">
        <v>261</v>
      </c>
      <c r="C14" s="1238">
        <v>0.4</v>
      </c>
      <c r="D14" s="1239"/>
      <c r="E14" s="1239"/>
      <c r="F14" s="1239"/>
      <c r="G14" s="1239"/>
      <c r="H14" s="1239"/>
      <c r="I14" s="1239"/>
      <c r="J14" s="1239"/>
      <c r="K14" s="1239"/>
      <c r="L14" s="1239"/>
      <c r="M14" s="1239"/>
      <c r="N14" s="193"/>
      <c r="O14" s="686"/>
      <c r="P14" s="686"/>
      <c r="Q14" s="686"/>
      <c r="R14" s="686"/>
      <c r="S14" s="686"/>
      <c r="T14" s="686"/>
      <c r="U14" s="687"/>
      <c r="V14" s="687"/>
      <c r="W14" s="687"/>
      <c r="X14" s="687"/>
      <c r="Y14" s="687"/>
      <c r="Z14" s="687"/>
      <c r="AA14" s="687"/>
      <c r="AB14" s="687"/>
      <c r="AC14" s="687"/>
      <c r="AD14" s="687"/>
      <c r="AE14" s="687"/>
      <c r="AF14" s="687"/>
      <c r="AG14" s="687"/>
      <c r="AH14" s="687"/>
      <c r="AI14" s="687"/>
      <c r="AJ14" s="687"/>
      <c r="AK14" s="687"/>
      <c r="AL14" s="687"/>
      <c r="AM14" s="687"/>
      <c r="AN14" s="688"/>
      <c r="AO14" s="688"/>
      <c r="AP14" s="688"/>
      <c r="AQ14" s="688"/>
      <c r="AR14" s="688"/>
    </row>
    <row r="15" spans="1:58" ht="14.25" x14ac:dyDescent="0.2">
      <c r="A15" s="131" t="s">
        <v>88</v>
      </c>
      <c r="B15" s="1237" t="s">
        <v>739</v>
      </c>
      <c r="C15" s="1238">
        <v>0.4</v>
      </c>
      <c r="D15" s="1239"/>
      <c r="E15" s="1239"/>
      <c r="F15" s="1239"/>
      <c r="G15" s="1239"/>
      <c r="H15" s="1239"/>
      <c r="I15" s="1239"/>
      <c r="J15" s="1239"/>
      <c r="K15" s="1239"/>
      <c r="L15" s="1239"/>
      <c r="M15" s="1239"/>
      <c r="N15" s="193"/>
      <c r="O15" s="686"/>
      <c r="P15" s="686"/>
      <c r="Q15" s="686"/>
      <c r="R15" s="686"/>
      <c r="S15" s="686"/>
      <c r="T15" s="686"/>
      <c r="U15" s="687"/>
      <c r="V15" s="687"/>
      <c r="W15" s="687"/>
      <c r="X15" s="687"/>
      <c r="Y15" s="687"/>
      <c r="Z15" s="687"/>
      <c r="AA15" s="687"/>
      <c r="AB15" s="687"/>
      <c r="AC15" s="687"/>
      <c r="AD15" s="687"/>
      <c r="AE15" s="687"/>
      <c r="AF15" s="687"/>
      <c r="AG15" s="687"/>
      <c r="AH15" s="687"/>
      <c r="AI15" s="687"/>
      <c r="AJ15" s="687"/>
      <c r="AK15" s="687"/>
      <c r="AL15" s="687"/>
      <c r="AM15" s="687"/>
      <c r="AN15" s="688"/>
      <c r="AO15" s="688"/>
      <c r="AP15" s="688"/>
      <c r="AQ15" s="688"/>
      <c r="AR15" s="688"/>
    </row>
    <row r="16" spans="1:58" ht="14.25" x14ac:dyDescent="0.2">
      <c r="A16" s="131" t="s">
        <v>88</v>
      </c>
      <c r="B16" s="1237" t="s">
        <v>740</v>
      </c>
      <c r="C16" s="1238">
        <v>0.4</v>
      </c>
      <c r="D16" s="1239"/>
      <c r="E16" s="1239"/>
      <c r="F16" s="1241"/>
      <c r="G16" s="1239"/>
      <c r="H16" s="1239"/>
      <c r="I16" s="1239"/>
      <c r="J16" s="1239"/>
      <c r="K16" s="1239"/>
      <c r="L16" s="1239"/>
      <c r="M16" s="1239"/>
      <c r="N16" s="193"/>
      <c r="O16" s="686"/>
      <c r="P16" s="686"/>
      <c r="Q16" s="686"/>
      <c r="R16" s="686"/>
      <c r="S16" s="686"/>
      <c r="T16" s="686"/>
      <c r="U16" s="687"/>
      <c r="V16" s="687"/>
      <c r="W16" s="687"/>
      <c r="X16" s="687"/>
      <c r="Y16" s="687"/>
      <c r="Z16" s="687"/>
      <c r="AA16" s="687"/>
      <c r="AB16" s="687"/>
      <c r="AC16" s="687"/>
      <c r="AD16" s="687"/>
      <c r="AE16" s="687"/>
      <c r="AF16" s="687"/>
      <c r="AG16" s="687"/>
      <c r="AH16" s="687"/>
      <c r="AI16" s="687"/>
      <c r="AJ16" s="687"/>
      <c r="AK16" s="687"/>
      <c r="AL16" s="687"/>
      <c r="AM16" s="687"/>
      <c r="AN16" s="688"/>
      <c r="AO16" s="688"/>
      <c r="AP16" s="688"/>
      <c r="AQ16" s="688"/>
      <c r="AR16" s="688"/>
    </row>
    <row r="17" spans="1:47" ht="14.25" x14ac:dyDescent="0.2">
      <c r="A17" s="131" t="s">
        <v>88</v>
      </c>
      <c r="B17" s="1237" t="s">
        <v>738</v>
      </c>
      <c r="C17" s="1238">
        <v>0.4</v>
      </c>
      <c r="D17" s="1239"/>
      <c r="E17" s="1239"/>
      <c r="F17" s="1241"/>
      <c r="G17" s="1239"/>
      <c r="H17" s="1239"/>
      <c r="I17" s="1239"/>
      <c r="J17" s="1239"/>
      <c r="K17" s="1239"/>
      <c r="L17" s="1239"/>
      <c r="M17" s="1239"/>
      <c r="N17" s="193"/>
      <c r="O17" s="686"/>
      <c r="P17" s="686"/>
      <c r="Q17" s="686"/>
      <c r="R17" s="686"/>
      <c r="S17" s="686"/>
      <c r="T17" s="686"/>
      <c r="U17" s="687"/>
      <c r="V17" s="687"/>
      <c r="W17" s="687"/>
      <c r="X17" s="687"/>
      <c r="Y17" s="687"/>
      <c r="Z17" s="687"/>
      <c r="AA17" s="687"/>
      <c r="AB17" s="687"/>
      <c r="AC17" s="687"/>
      <c r="AD17" s="687"/>
      <c r="AE17" s="687"/>
      <c r="AF17" s="687"/>
      <c r="AG17" s="687"/>
      <c r="AH17" s="687"/>
      <c r="AI17" s="687"/>
      <c r="AJ17" s="687"/>
      <c r="AK17" s="687"/>
      <c r="AL17" s="687"/>
      <c r="AM17" s="687"/>
      <c r="AN17" s="688"/>
      <c r="AO17" s="688"/>
      <c r="AP17" s="688"/>
      <c r="AQ17" s="688"/>
      <c r="AR17" s="688"/>
    </row>
    <row r="18" spans="1:47" ht="14.25" x14ac:dyDescent="0.2">
      <c r="A18" s="131" t="s">
        <v>88</v>
      </c>
      <c r="B18" s="1242" t="s">
        <v>741</v>
      </c>
      <c r="C18" s="1238">
        <v>0.4</v>
      </c>
      <c r="D18" s="1239"/>
      <c r="E18" s="1239"/>
      <c r="F18" s="1239"/>
      <c r="G18" s="1239"/>
      <c r="H18" s="1239"/>
      <c r="I18" s="1239"/>
      <c r="J18" s="1239"/>
      <c r="K18" s="1239"/>
      <c r="L18" s="1239"/>
      <c r="M18" s="1239"/>
      <c r="N18" s="686"/>
      <c r="O18" s="686"/>
      <c r="P18" s="686"/>
      <c r="Q18" s="686"/>
      <c r="R18" s="686"/>
      <c r="S18" s="686"/>
      <c r="T18" s="686"/>
      <c r="U18" s="687"/>
      <c r="V18" s="687"/>
      <c r="W18" s="687"/>
      <c r="X18" s="694"/>
      <c r="Y18" s="687"/>
      <c r="Z18" s="687"/>
      <c r="AA18" s="687"/>
      <c r="AB18" s="687"/>
      <c r="AC18" s="687"/>
      <c r="AD18" s="687"/>
      <c r="AE18" s="687"/>
      <c r="AF18" s="687"/>
      <c r="AG18" s="687"/>
      <c r="AH18" s="687"/>
      <c r="AI18" s="687"/>
      <c r="AJ18" s="687"/>
      <c r="AK18" s="687"/>
      <c r="AL18" s="687"/>
      <c r="AM18" s="687"/>
      <c r="AN18" s="688"/>
      <c r="AO18" s="688"/>
      <c r="AP18" s="688"/>
      <c r="AQ18" s="688"/>
      <c r="AR18" s="688"/>
    </row>
    <row r="19" spans="1:47" ht="9" customHeight="1" x14ac:dyDescent="0.25">
      <c r="B19" s="1244"/>
      <c r="C19" s="1245"/>
      <c r="D19" s="1239"/>
      <c r="E19" s="1239"/>
      <c r="F19" s="1239"/>
      <c r="G19" s="1239"/>
      <c r="H19" s="1239"/>
      <c r="I19" s="1239"/>
      <c r="J19" s="1239"/>
      <c r="K19" s="1239"/>
      <c r="L19" s="1239"/>
      <c r="M19" s="1239"/>
      <c r="N19" s="686"/>
      <c r="O19" s="686"/>
      <c r="P19" s="686"/>
      <c r="Q19" s="686"/>
      <c r="R19" s="686"/>
      <c r="S19" s="686"/>
      <c r="T19" s="686"/>
      <c r="U19" s="687"/>
      <c r="V19" s="687"/>
      <c r="W19" s="687"/>
      <c r="X19" s="694"/>
      <c r="Y19" s="687"/>
      <c r="Z19" s="687"/>
      <c r="AA19" s="687"/>
      <c r="AB19" s="687"/>
      <c r="AC19" s="687"/>
      <c r="AD19" s="687"/>
      <c r="AE19" s="687"/>
      <c r="AF19" s="687"/>
      <c r="AG19" s="687"/>
      <c r="AH19" s="687"/>
      <c r="AI19" s="687"/>
      <c r="AJ19" s="687"/>
      <c r="AK19" s="687"/>
      <c r="AL19" s="687"/>
      <c r="AM19" s="687"/>
      <c r="AN19" s="688"/>
      <c r="AO19" s="688"/>
      <c r="AP19" s="688"/>
      <c r="AQ19" s="688"/>
      <c r="AR19" s="688"/>
    </row>
    <row r="20" spans="1:47" s="162" customFormat="1" ht="15" x14ac:dyDescent="0.2">
      <c r="A20" s="160">
        <v>2</v>
      </c>
      <c r="B20" s="1230" t="s">
        <v>750</v>
      </c>
      <c r="C20" s="1246"/>
      <c r="D20" s="1246"/>
      <c r="E20" s="1246"/>
      <c r="F20" s="1246"/>
      <c r="G20" s="1246"/>
      <c r="H20" s="1246"/>
      <c r="I20" s="1246"/>
      <c r="J20" s="1246"/>
      <c r="K20" s="1246"/>
      <c r="L20" s="1246"/>
      <c r="M20" s="1239"/>
      <c r="N20" s="686"/>
      <c r="O20" s="695"/>
      <c r="P20" s="695"/>
      <c r="Q20" s="695"/>
      <c r="R20" s="695"/>
      <c r="S20" s="695"/>
      <c r="T20" s="695"/>
      <c r="U20" s="695"/>
      <c r="V20" s="695"/>
      <c r="W20" s="695"/>
      <c r="X20" s="695"/>
      <c r="Y20" s="695"/>
      <c r="Z20" s="695"/>
      <c r="AA20" s="695"/>
      <c r="AB20" s="695"/>
      <c r="AC20" s="695"/>
      <c r="AD20" s="695"/>
      <c r="AE20" s="695"/>
      <c r="AF20" s="695"/>
      <c r="AG20" s="695"/>
      <c r="AH20" s="695"/>
      <c r="AI20" s="695"/>
      <c r="AJ20" s="695"/>
      <c r="AK20" s="695"/>
      <c r="AL20" s="695"/>
      <c r="AM20" s="695"/>
      <c r="AN20" s="688"/>
      <c r="AO20" s="688"/>
      <c r="AP20" s="688"/>
      <c r="AQ20" s="688"/>
      <c r="AR20" s="688"/>
      <c r="AS20" s="92"/>
      <c r="AT20" s="92"/>
      <c r="AU20" s="92"/>
    </row>
    <row r="21" spans="1:47" s="162" customFormat="1" ht="15.75" thickBot="1" x14ac:dyDescent="0.3">
      <c r="A21" s="160"/>
      <c r="B21" s="1247" t="s">
        <v>751</v>
      </c>
      <c r="C21" s="1248"/>
      <c r="D21" s="1248"/>
      <c r="E21" s="1248"/>
      <c r="F21" s="1248"/>
      <c r="G21" s="1248"/>
      <c r="H21" s="1248"/>
      <c r="I21" s="1248"/>
      <c r="J21" s="1248"/>
      <c r="K21" s="1248"/>
      <c r="L21" s="1248"/>
      <c r="M21" s="1239"/>
      <c r="N21" s="686"/>
      <c r="O21" s="696"/>
      <c r="P21" s="696"/>
      <c r="Q21" s="696"/>
      <c r="R21" s="696"/>
      <c r="S21" s="696"/>
      <c r="T21" s="696"/>
      <c r="U21" s="696"/>
      <c r="V21" s="696"/>
      <c r="W21" s="696"/>
      <c r="X21" s="696"/>
      <c r="Y21" s="696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  <c r="AN21" s="688"/>
      <c r="AO21" s="688"/>
      <c r="AP21" s="688"/>
      <c r="AQ21" s="688"/>
      <c r="AR21" s="688"/>
      <c r="AS21" s="92"/>
      <c r="AT21" s="92"/>
      <c r="AU21" s="92"/>
    </row>
    <row r="22" spans="1:47" s="127" customFormat="1" ht="13.9" customHeight="1" thickBot="1" x14ac:dyDescent="0.3">
      <c r="A22" s="163">
        <v>2</v>
      </c>
      <c r="B22" s="1249"/>
      <c r="C22" s="1250" t="s">
        <v>833</v>
      </c>
      <c r="D22" s="1251"/>
      <c r="E22" s="1251"/>
      <c r="F22" s="1251"/>
      <c r="G22" s="1252"/>
      <c r="H22" s="1250" t="s">
        <v>834</v>
      </c>
      <c r="I22" s="1251"/>
      <c r="J22" s="1251"/>
      <c r="K22" s="1251"/>
      <c r="L22" s="1252"/>
      <c r="M22" s="1239"/>
      <c r="N22" s="686"/>
      <c r="O22" s="805" t="s">
        <v>522</v>
      </c>
      <c r="P22" s="805"/>
      <c r="Q22" s="805"/>
      <c r="R22" s="805"/>
      <c r="S22" s="805"/>
      <c r="T22" s="805" t="s">
        <v>765</v>
      </c>
      <c r="U22" s="805"/>
      <c r="V22" s="805"/>
      <c r="W22" s="805"/>
      <c r="X22" s="805"/>
      <c r="Y22" s="807" t="s">
        <v>764</v>
      </c>
      <c r="Z22" s="807"/>
      <c r="AA22" s="807"/>
      <c r="AB22" s="807"/>
      <c r="AC22" s="807"/>
      <c r="AD22" s="805" t="s">
        <v>898</v>
      </c>
      <c r="AE22" s="805"/>
      <c r="AF22" s="805"/>
      <c r="AG22" s="805"/>
      <c r="AH22" s="805"/>
      <c r="AI22" s="805" t="s">
        <v>521</v>
      </c>
      <c r="AJ22" s="805"/>
      <c r="AK22" s="805"/>
      <c r="AL22" s="805"/>
      <c r="AM22" s="805"/>
      <c r="AN22" s="806"/>
      <c r="AO22" s="806"/>
      <c r="AP22" s="806"/>
      <c r="AQ22" s="806"/>
      <c r="AR22" s="806"/>
      <c r="AS22" s="92"/>
      <c r="AT22" s="92"/>
      <c r="AU22" s="92"/>
    </row>
    <row r="23" spans="1:47" s="165" customFormat="1" ht="60" x14ac:dyDescent="0.2">
      <c r="A23" s="164"/>
      <c r="B23" s="1253" t="s">
        <v>263</v>
      </c>
      <c r="C23" s="1254" t="s">
        <v>264</v>
      </c>
      <c r="D23" s="1254" t="s">
        <v>265</v>
      </c>
      <c r="E23" s="1254" t="s">
        <v>266</v>
      </c>
      <c r="F23" s="1255" t="s">
        <v>276</v>
      </c>
      <c r="G23" s="1256"/>
      <c r="H23" s="1254" t="s">
        <v>264</v>
      </c>
      <c r="I23" s="1254" t="s">
        <v>265</v>
      </c>
      <c r="J23" s="1254" t="s">
        <v>266</v>
      </c>
      <c r="K23" s="1255" t="s">
        <v>276</v>
      </c>
      <c r="L23" s="1256"/>
      <c r="M23" s="1239"/>
      <c r="N23" s="686"/>
      <c r="O23" s="697" t="s">
        <v>267</v>
      </c>
      <c r="P23" s="697" t="s">
        <v>268</v>
      </c>
      <c r="Q23" s="697" t="s">
        <v>588</v>
      </c>
      <c r="R23" s="809" t="s">
        <v>589</v>
      </c>
      <c r="S23" s="809"/>
      <c r="T23" s="697" t="s">
        <v>600</v>
      </c>
      <c r="U23" s="697"/>
      <c r="V23" s="697"/>
      <c r="W23" s="697" t="s">
        <v>594</v>
      </c>
      <c r="X23" s="697"/>
      <c r="Y23" s="697" t="s">
        <v>823</v>
      </c>
      <c r="Z23" s="697"/>
      <c r="AA23" s="697"/>
      <c r="AB23" s="697" t="s">
        <v>594</v>
      </c>
      <c r="AC23" s="697"/>
      <c r="AD23" s="697"/>
      <c r="AE23" s="697" t="s">
        <v>823</v>
      </c>
      <c r="AF23" s="697"/>
      <c r="AG23" s="697" t="s">
        <v>594</v>
      </c>
      <c r="AH23" s="698"/>
      <c r="AI23" s="697" t="s">
        <v>823</v>
      </c>
      <c r="AJ23" s="697"/>
      <c r="AK23" s="697"/>
      <c r="AL23" s="697" t="s">
        <v>594</v>
      </c>
      <c r="AM23" s="697"/>
      <c r="AN23" s="699"/>
      <c r="AO23" s="699"/>
      <c r="AP23" s="699"/>
      <c r="AQ23" s="699"/>
      <c r="AR23" s="699"/>
      <c r="AS23" s="665"/>
      <c r="AT23" s="665"/>
      <c r="AU23" s="665"/>
    </row>
    <row r="24" spans="1:47" s="130" customFormat="1" ht="14.25" x14ac:dyDescent="0.2">
      <c r="A24" s="131" t="s">
        <v>93</v>
      </c>
      <c r="B24" s="1237" t="s">
        <v>257</v>
      </c>
      <c r="C24" s="1257">
        <v>0.52669999999999995</v>
      </c>
      <c r="D24" s="1257">
        <v>0</v>
      </c>
      <c r="E24" s="1258">
        <v>0</v>
      </c>
      <c r="F24" s="1259">
        <v>0.1</v>
      </c>
      <c r="G24" s="1260"/>
      <c r="H24" s="1257">
        <v>0</v>
      </c>
      <c r="I24" s="1257">
        <v>0</v>
      </c>
      <c r="J24" s="1257">
        <v>0</v>
      </c>
      <c r="K24" s="1261">
        <v>0</v>
      </c>
      <c r="L24" s="1262"/>
      <c r="M24" s="1239"/>
      <c r="N24" s="686"/>
      <c r="O24" s="687">
        <v>0.23830000000000001</v>
      </c>
      <c r="P24" s="700">
        <v>0</v>
      </c>
      <c r="Q24" s="691">
        <v>0</v>
      </c>
      <c r="R24" s="810">
        <v>0.1</v>
      </c>
      <c r="S24" s="810"/>
      <c r="T24" s="686">
        <v>0.11534999999999999</v>
      </c>
      <c r="U24" s="686"/>
      <c r="V24" s="691"/>
      <c r="W24" s="686">
        <v>0.1</v>
      </c>
      <c r="X24" s="691"/>
      <c r="Y24" s="686">
        <v>0.11534999999999999</v>
      </c>
      <c r="Z24" s="686"/>
      <c r="AA24" s="691"/>
      <c r="AB24" s="686">
        <v>0.1</v>
      </c>
      <c r="AC24" s="686"/>
      <c r="AD24" s="691"/>
      <c r="AE24" s="686">
        <v>4.3E-3</v>
      </c>
      <c r="AF24" s="686"/>
      <c r="AG24" s="686">
        <v>0</v>
      </c>
      <c r="AH24" s="687"/>
      <c r="AI24" s="691"/>
      <c r="AJ24" s="691"/>
      <c r="AK24" s="691"/>
      <c r="AL24" s="691"/>
      <c r="AM24" s="691"/>
      <c r="AN24" s="701"/>
      <c r="AO24" s="689"/>
      <c r="AP24" s="689"/>
      <c r="AQ24" s="702"/>
      <c r="AR24" s="690"/>
      <c r="AS24" s="92"/>
      <c r="AT24" s="92"/>
      <c r="AU24" s="92"/>
    </row>
    <row r="25" spans="1:47" s="130" customFormat="1" ht="14.25" x14ac:dyDescent="0.2">
      <c r="A25" s="129" t="s">
        <v>93</v>
      </c>
      <c r="B25" s="1237" t="s">
        <v>258</v>
      </c>
      <c r="C25" s="1258">
        <v>0</v>
      </c>
      <c r="D25" s="1258">
        <v>0</v>
      </c>
      <c r="E25" s="1257">
        <v>0</v>
      </c>
      <c r="F25" s="1263">
        <v>0</v>
      </c>
      <c r="G25" s="1264"/>
      <c r="H25" s="1258">
        <v>0</v>
      </c>
      <c r="I25" s="1258">
        <v>0</v>
      </c>
      <c r="J25" s="1258">
        <v>0</v>
      </c>
      <c r="K25" s="1265">
        <v>0</v>
      </c>
      <c r="L25" s="1266"/>
      <c r="M25" s="1239"/>
      <c r="N25" s="686"/>
      <c r="O25" s="687">
        <v>0</v>
      </c>
      <c r="P25" s="692">
        <v>0</v>
      </c>
      <c r="Q25" s="691">
        <v>0</v>
      </c>
      <c r="R25" s="811">
        <v>0</v>
      </c>
      <c r="S25" s="811"/>
      <c r="T25" s="691"/>
      <c r="U25" s="691"/>
      <c r="V25" s="686"/>
      <c r="W25" s="691"/>
      <c r="X25" s="691"/>
      <c r="Y25" s="691"/>
      <c r="Z25" s="691"/>
      <c r="AA25" s="686"/>
      <c r="AB25" s="691"/>
      <c r="AC25" s="691"/>
      <c r="AD25" s="691"/>
      <c r="AE25" s="691"/>
      <c r="AF25" s="691"/>
      <c r="AG25" s="691"/>
      <c r="AH25" s="691"/>
      <c r="AI25" s="691"/>
      <c r="AJ25" s="691"/>
      <c r="AK25" s="691"/>
      <c r="AL25" s="691"/>
      <c r="AM25" s="691"/>
      <c r="AN25" s="689"/>
      <c r="AO25" s="689"/>
      <c r="AP25" s="689"/>
      <c r="AQ25" s="690"/>
      <c r="AR25" s="690"/>
      <c r="AS25" s="92"/>
      <c r="AT25" s="92"/>
      <c r="AU25" s="92"/>
    </row>
    <row r="26" spans="1:47" s="130" customFormat="1" ht="14.25" x14ac:dyDescent="0.2">
      <c r="A26" s="131" t="s">
        <v>93</v>
      </c>
      <c r="B26" s="1237" t="s">
        <v>259</v>
      </c>
      <c r="C26" s="1257">
        <v>1.3</v>
      </c>
      <c r="D26" s="1257">
        <v>0</v>
      </c>
      <c r="E26" s="1258">
        <v>0</v>
      </c>
      <c r="F26" s="1259">
        <v>0.2</v>
      </c>
      <c r="G26" s="1260"/>
      <c r="H26" s="1257">
        <v>0</v>
      </c>
      <c r="I26" s="1257">
        <v>0</v>
      </c>
      <c r="J26" s="1257">
        <v>0</v>
      </c>
      <c r="K26" s="1261">
        <v>0</v>
      </c>
      <c r="L26" s="1262"/>
      <c r="M26" s="1239"/>
      <c r="N26" s="686"/>
      <c r="O26" s="687">
        <v>0.7</v>
      </c>
      <c r="P26" s="700">
        <v>0</v>
      </c>
      <c r="Q26" s="691">
        <v>0</v>
      </c>
      <c r="R26" s="810">
        <v>0.2</v>
      </c>
      <c r="S26" s="810"/>
      <c r="T26" s="686"/>
      <c r="U26" s="686"/>
      <c r="V26" s="691"/>
      <c r="W26" s="691"/>
      <c r="X26" s="691"/>
      <c r="Y26" s="691"/>
      <c r="Z26" s="691"/>
      <c r="AA26" s="691"/>
      <c r="AB26" s="691"/>
      <c r="AC26" s="691"/>
      <c r="AD26" s="691"/>
      <c r="AE26" s="691"/>
      <c r="AF26" s="691"/>
      <c r="AG26" s="691"/>
      <c r="AH26" s="691"/>
      <c r="AI26" s="693">
        <v>0</v>
      </c>
      <c r="AJ26" s="703"/>
      <c r="AK26" s="691"/>
      <c r="AL26" s="693">
        <v>0</v>
      </c>
      <c r="AM26" s="691"/>
      <c r="AN26" s="701"/>
      <c r="AO26" s="689"/>
      <c r="AP26" s="689"/>
      <c r="AQ26" s="702"/>
      <c r="AR26" s="690"/>
      <c r="AS26" s="92"/>
      <c r="AT26" s="92"/>
      <c r="AU26" s="92"/>
    </row>
    <row r="27" spans="1:47" s="130" customFormat="1" ht="15" thickBot="1" x14ac:dyDescent="0.25">
      <c r="A27" s="137" t="s">
        <v>93</v>
      </c>
      <c r="B27" s="1267" t="s">
        <v>260</v>
      </c>
      <c r="C27" s="1268">
        <v>0</v>
      </c>
      <c r="D27" s="1258">
        <v>0</v>
      </c>
      <c r="E27" s="1257">
        <v>0</v>
      </c>
      <c r="F27" s="1265">
        <v>0</v>
      </c>
      <c r="G27" s="1266"/>
      <c r="H27" s="1258">
        <v>0</v>
      </c>
      <c r="I27" s="1258">
        <v>0</v>
      </c>
      <c r="J27" s="1258">
        <v>0</v>
      </c>
      <c r="K27" s="1265">
        <v>0</v>
      </c>
      <c r="L27" s="1266"/>
      <c r="M27" s="1239"/>
      <c r="N27" s="686"/>
      <c r="O27" s="687">
        <v>0</v>
      </c>
      <c r="P27" s="691">
        <v>0</v>
      </c>
      <c r="Q27" s="691">
        <v>0</v>
      </c>
      <c r="R27" s="808"/>
      <c r="S27" s="808"/>
      <c r="T27" s="691"/>
      <c r="U27" s="691"/>
      <c r="V27" s="693"/>
      <c r="W27" s="693"/>
      <c r="X27" s="693"/>
      <c r="Y27" s="691"/>
      <c r="Z27" s="691"/>
      <c r="AA27" s="691"/>
      <c r="AB27" s="691"/>
      <c r="AC27" s="691"/>
      <c r="AD27" s="691"/>
      <c r="AE27" s="691"/>
      <c r="AF27" s="691"/>
      <c r="AG27" s="691"/>
      <c r="AH27" s="691"/>
      <c r="AI27" s="691"/>
      <c r="AJ27" s="691"/>
      <c r="AK27" s="686"/>
      <c r="AL27" s="691"/>
      <c r="AM27" s="691"/>
      <c r="AN27" s="689"/>
      <c r="AO27" s="689"/>
      <c r="AP27" s="689"/>
      <c r="AQ27" s="690"/>
      <c r="AR27" s="690"/>
      <c r="AS27" s="92"/>
      <c r="AT27" s="92"/>
      <c r="AU27" s="92"/>
    </row>
    <row r="28" spans="1:47" s="130" customFormat="1" ht="15.75" thickBot="1" x14ac:dyDescent="0.3">
      <c r="A28" s="681"/>
      <c r="B28" s="1249"/>
      <c r="C28" s="1250" t="s">
        <v>522</v>
      </c>
      <c r="D28" s="1251"/>
      <c r="E28" s="1251"/>
      <c r="F28" s="1251"/>
      <c r="G28" s="1252"/>
      <c r="H28" s="1269" t="s">
        <v>765</v>
      </c>
      <c r="I28" s="1269"/>
      <c r="J28" s="1269"/>
      <c r="K28" s="1269"/>
      <c r="L28" s="1269"/>
      <c r="M28" s="1239"/>
      <c r="N28" s="686"/>
      <c r="O28" s="687"/>
      <c r="P28" s="691"/>
      <c r="Q28" s="691"/>
      <c r="R28" s="692"/>
      <c r="S28" s="692"/>
      <c r="T28" s="691"/>
      <c r="U28" s="691"/>
      <c r="V28" s="693"/>
      <c r="W28" s="693"/>
      <c r="X28" s="693"/>
      <c r="Y28" s="691"/>
      <c r="Z28" s="691"/>
      <c r="AA28" s="691"/>
      <c r="AB28" s="691"/>
      <c r="AC28" s="691"/>
      <c r="AD28" s="691"/>
      <c r="AE28" s="691"/>
      <c r="AF28" s="691"/>
      <c r="AG28" s="691"/>
      <c r="AH28" s="691"/>
      <c r="AI28" s="691"/>
      <c r="AJ28" s="691"/>
      <c r="AK28" s="686"/>
      <c r="AL28" s="691"/>
      <c r="AM28" s="691"/>
      <c r="AN28" s="689"/>
      <c r="AO28" s="689"/>
      <c r="AP28" s="689"/>
      <c r="AQ28" s="690"/>
      <c r="AR28" s="690"/>
      <c r="AS28" s="92"/>
      <c r="AT28" s="92"/>
      <c r="AU28" s="92"/>
    </row>
    <row r="29" spans="1:47" s="130" customFormat="1" ht="60" x14ac:dyDescent="0.2">
      <c r="A29" s="681"/>
      <c r="B29" s="1253" t="s">
        <v>263</v>
      </c>
      <c r="C29" s="1254" t="s">
        <v>267</v>
      </c>
      <c r="D29" s="1254" t="s">
        <v>268</v>
      </c>
      <c r="E29" s="1254" t="s">
        <v>588</v>
      </c>
      <c r="F29" s="1255" t="s">
        <v>589</v>
      </c>
      <c r="G29" s="1256"/>
      <c r="H29" s="1254" t="s">
        <v>600</v>
      </c>
      <c r="I29" s="1254"/>
      <c r="J29" s="1254"/>
      <c r="K29" s="1254" t="s">
        <v>594</v>
      </c>
      <c r="L29" s="1254"/>
      <c r="M29" s="1239"/>
      <c r="N29" s="686"/>
      <c r="O29" s="687"/>
      <c r="P29" s="691"/>
      <c r="Q29" s="691"/>
      <c r="R29" s="692"/>
      <c r="S29" s="692"/>
      <c r="T29" s="691"/>
      <c r="U29" s="691"/>
      <c r="V29" s="693"/>
      <c r="W29" s="693"/>
      <c r="X29" s="693"/>
      <c r="Y29" s="691"/>
      <c r="Z29" s="691"/>
      <c r="AA29" s="691"/>
      <c r="AB29" s="691"/>
      <c r="AC29" s="691"/>
      <c r="AD29" s="691"/>
      <c r="AE29" s="691"/>
      <c r="AF29" s="691"/>
      <c r="AG29" s="691"/>
      <c r="AH29" s="691"/>
      <c r="AI29" s="691"/>
      <c r="AJ29" s="691"/>
      <c r="AK29" s="686"/>
      <c r="AL29" s="691"/>
      <c r="AM29" s="691"/>
      <c r="AN29" s="689"/>
      <c r="AO29" s="689"/>
      <c r="AP29" s="689"/>
      <c r="AQ29" s="690"/>
      <c r="AR29" s="690"/>
      <c r="AS29" s="92"/>
      <c r="AT29" s="92"/>
      <c r="AU29" s="92"/>
    </row>
    <row r="30" spans="1:47" s="130" customFormat="1" ht="14.25" x14ac:dyDescent="0.2">
      <c r="A30" s="681"/>
      <c r="B30" s="1237" t="s">
        <v>257</v>
      </c>
      <c r="C30" s="1270">
        <v>0.23830000000000001</v>
      </c>
      <c r="D30" s="1257">
        <v>0</v>
      </c>
      <c r="E30" s="1263">
        <v>0</v>
      </c>
      <c r="F30" s="1259">
        <v>0.1</v>
      </c>
      <c r="G30" s="1260"/>
      <c r="H30" s="1271">
        <v>0.11534999999999999</v>
      </c>
      <c r="I30" s="1271"/>
      <c r="J30" s="1263"/>
      <c r="K30" s="1271">
        <v>0.1</v>
      </c>
      <c r="L30" s="1263"/>
      <c r="M30" s="1239"/>
      <c r="N30" s="193"/>
      <c r="O30" s="687"/>
      <c r="P30" s="691"/>
      <c r="Q30" s="691"/>
      <c r="R30" s="692"/>
      <c r="S30" s="692"/>
      <c r="T30" s="691"/>
      <c r="U30" s="691"/>
      <c r="V30" s="693"/>
      <c r="W30" s="693"/>
      <c r="X30" s="693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86"/>
      <c r="AL30" s="691"/>
      <c r="AM30" s="691"/>
      <c r="AN30" s="689"/>
      <c r="AO30" s="689"/>
      <c r="AP30" s="689"/>
      <c r="AQ30" s="690"/>
      <c r="AR30" s="690"/>
      <c r="AS30" s="92"/>
      <c r="AT30" s="92"/>
      <c r="AU30" s="92"/>
    </row>
    <row r="31" spans="1:47" s="130" customFormat="1" ht="14.25" x14ac:dyDescent="0.2">
      <c r="A31" s="681"/>
      <c r="B31" s="1237" t="s">
        <v>258</v>
      </c>
      <c r="C31" s="1270">
        <v>0</v>
      </c>
      <c r="D31" s="1258">
        <v>0</v>
      </c>
      <c r="E31" s="1263">
        <v>0</v>
      </c>
      <c r="F31" s="1272">
        <v>0</v>
      </c>
      <c r="G31" s="1273"/>
      <c r="H31" s="1263"/>
      <c r="I31" s="1263"/>
      <c r="J31" s="1271"/>
      <c r="K31" s="1263"/>
      <c r="L31" s="1263"/>
      <c r="M31" s="1239"/>
      <c r="N31" s="193"/>
      <c r="O31" s="687"/>
      <c r="P31" s="691"/>
      <c r="Q31" s="691"/>
      <c r="R31" s="692"/>
      <c r="S31" s="692"/>
      <c r="T31" s="691"/>
      <c r="U31" s="691"/>
      <c r="V31" s="693"/>
      <c r="W31" s="693"/>
      <c r="X31" s="693"/>
      <c r="Y31" s="691"/>
      <c r="Z31" s="691"/>
      <c r="AA31" s="691"/>
      <c r="AB31" s="691"/>
      <c r="AC31" s="691"/>
      <c r="AD31" s="691"/>
      <c r="AE31" s="691"/>
      <c r="AF31" s="691"/>
      <c r="AG31" s="691"/>
      <c r="AH31" s="691"/>
      <c r="AI31" s="691"/>
      <c r="AJ31" s="691"/>
      <c r="AK31" s="686"/>
      <c r="AL31" s="691"/>
      <c r="AM31" s="691"/>
      <c r="AN31" s="689"/>
      <c r="AO31" s="689"/>
      <c r="AP31" s="689"/>
      <c r="AQ31" s="690"/>
      <c r="AR31" s="690"/>
      <c r="AS31" s="92"/>
      <c r="AT31" s="92"/>
      <c r="AU31" s="92"/>
    </row>
    <row r="32" spans="1:47" s="130" customFormat="1" ht="14.25" x14ac:dyDescent="0.2">
      <c r="A32" s="681"/>
      <c r="B32" s="1237" t="s">
        <v>259</v>
      </c>
      <c r="C32" s="1270">
        <v>0.7</v>
      </c>
      <c r="D32" s="1257">
        <v>0</v>
      </c>
      <c r="E32" s="1263">
        <v>0</v>
      </c>
      <c r="F32" s="1259">
        <v>0.2</v>
      </c>
      <c r="G32" s="1260"/>
      <c r="H32" s="1271"/>
      <c r="I32" s="1271"/>
      <c r="J32" s="1263"/>
      <c r="K32" s="1263"/>
      <c r="L32" s="1263"/>
      <c r="M32" s="1239"/>
      <c r="N32" s="193"/>
      <c r="O32" s="687"/>
      <c r="P32" s="691"/>
      <c r="Q32" s="691"/>
      <c r="R32" s="692"/>
      <c r="S32" s="692"/>
      <c r="T32" s="691"/>
      <c r="U32" s="691"/>
      <c r="V32" s="693"/>
      <c r="W32" s="693"/>
      <c r="X32" s="693"/>
      <c r="Y32" s="691"/>
      <c r="Z32" s="691"/>
      <c r="AA32" s="691"/>
      <c r="AB32" s="691"/>
      <c r="AC32" s="691"/>
      <c r="AD32" s="691"/>
      <c r="AE32" s="691"/>
      <c r="AF32" s="691"/>
      <c r="AG32" s="691"/>
      <c r="AH32" s="691"/>
      <c r="AI32" s="691"/>
      <c r="AJ32" s="691"/>
      <c r="AK32" s="686"/>
      <c r="AL32" s="691"/>
      <c r="AM32" s="691"/>
      <c r="AN32" s="689"/>
      <c r="AO32" s="689"/>
      <c r="AP32" s="689"/>
      <c r="AQ32" s="690"/>
      <c r="AR32" s="690"/>
      <c r="AS32" s="92"/>
      <c r="AT32" s="92"/>
      <c r="AU32" s="92"/>
    </row>
    <row r="33" spans="1:47" s="130" customFormat="1" ht="15" thickBot="1" x14ac:dyDescent="0.25">
      <c r="A33" s="681"/>
      <c r="B33" s="1267" t="s">
        <v>260</v>
      </c>
      <c r="C33" s="1270">
        <v>0</v>
      </c>
      <c r="D33" s="1263">
        <v>0</v>
      </c>
      <c r="E33" s="1263">
        <v>0</v>
      </c>
      <c r="F33" s="1265"/>
      <c r="G33" s="1266"/>
      <c r="H33" s="1263"/>
      <c r="I33" s="1263"/>
      <c r="J33" s="1274"/>
      <c r="K33" s="1274"/>
      <c r="L33" s="1274"/>
      <c r="M33" s="1239"/>
      <c r="N33" s="193"/>
      <c r="O33" s="687"/>
      <c r="P33" s="691"/>
      <c r="Q33" s="691"/>
      <c r="R33" s="692"/>
      <c r="S33" s="692"/>
      <c r="T33" s="691"/>
      <c r="U33" s="691"/>
      <c r="V33" s="693"/>
      <c r="W33" s="693"/>
      <c r="X33" s="693"/>
      <c r="Y33" s="691"/>
      <c r="Z33" s="691"/>
      <c r="AA33" s="691"/>
      <c r="AB33" s="691"/>
      <c r="AC33" s="691"/>
      <c r="AD33" s="691"/>
      <c r="AE33" s="691"/>
      <c r="AF33" s="691"/>
      <c r="AG33" s="691"/>
      <c r="AH33" s="691"/>
      <c r="AI33" s="691"/>
      <c r="AJ33" s="691"/>
      <c r="AK33" s="686"/>
      <c r="AL33" s="691"/>
      <c r="AM33" s="691"/>
      <c r="AN33" s="689"/>
      <c r="AO33" s="689"/>
      <c r="AP33" s="689"/>
      <c r="AQ33" s="690"/>
      <c r="AR33" s="690"/>
      <c r="AS33" s="92"/>
      <c r="AT33" s="92"/>
      <c r="AU33" s="92"/>
    </row>
    <row r="34" spans="1:47" s="130" customFormat="1" ht="15.75" thickBot="1" x14ac:dyDescent="0.3">
      <c r="A34" s="681"/>
      <c r="B34" s="1249"/>
      <c r="C34" s="1275" t="s">
        <v>764</v>
      </c>
      <c r="D34" s="1275"/>
      <c r="E34" s="1275"/>
      <c r="F34" s="1275"/>
      <c r="G34" s="1275"/>
      <c r="H34" s="1276" t="s">
        <v>898</v>
      </c>
      <c r="I34" s="1251"/>
      <c r="J34" s="1251"/>
      <c r="K34" s="1251"/>
      <c r="L34" s="1277"/>
      <c r="M34" s="1239"/>
      <c r="N34" s="193"/>
      <c r="O34" s="687"/>
      <c r="P34" s="691"/>
      <c r="Q34" s="691"/>
      <c r="R34" s="692"/>
      <c r="S34" s="692"/>
      <c r="T34" s="691"/>
      <c r="U34" s="691"/>
      <c r="V34" s="693"/>
      <c r="W34" s="693"/>
      <c r="X34" s="693"/>
      <c r="Y34" s="691"/>
      <c r="Z34" s="691"/>
      <c r="AA34" s="691"/>
      <c r="AB34" s="691"/>
      <c r="AC34" s="691"/>
      <c r="AD34" s="691"/>
      <c r="AE34" s="691"/>
      <c r="AF34" s="691"/>
      <c r="AG34" s="691"/>
      <c r="AH34" s="691"/>
      <c r="AI34" s="691"/>
      <c r="AJ34" s="691"/>
      <c r="AK34" s="686"/>
      <c r="AL34" s="691"/>
      <c r="AM34" s="691"/>
      <c r="AN34" s="689"/>
      <c r="AO34" s="689"/>
      <c r="AP34" s="689"/>
      <c r="AQ34" s="690"/>
      <c r="AR34" s="690"/>
      <c r="AS34" s="92"/>
      <c r="AT34" s="92"/>
      <c r="AU34" s="92"/>
    </row>
    <row r="35" spans="1:47" s="130" customFormat="1" ht="45" x14ac:dyDescent="0.2">
      <c r="A35" s="681"/>
      <c r="B35" s="1253" t="s">
        <v>263</v>
      </c>
      <c r="C35" s="1254" t="s">
        <v>823</v>
      </c>
      <c r="D35" s="1254"/>
      <c r="E35" s="1254"/>
      <c r="F35" s="1254" t="s">
        <v>594</v>
      </c>
      <c r="G35" s="1254"/>
      <c r="H35" s="1254" t="s">
        <v>823</v>
      </c>
      <c r="I35" s="1254"/>
      <c r="J35" s="1254"/>
      <c r="K35" s="1254" t="s">
        <v>594</v>
      </c>
      <c r="L35" s="1278"/>
      <c r="M35" s="1239"/>
      <c r="N35" s="193"/>
      <c r="O35" s="687"/>
      <c r="P35" s="691"/>
      <c r="Q35" s="691"/>
      <c r="R35" s="692"/>
      <c r="S35" s="692"/>
      <c r="T35" s="691"/>
      <c r="U35" s="691"/>
      <c r="V35" s="693"/>
      <c r="W35" s="693"/>
      <c r="X35" s="693"/>
      <c r="Y35" s="691"/>
      <c r="Z35" s="691"/>
      <c r="AA35" s="691"/>
      <c r="AB35" s="691"/>
      <c r="AC35" s="691"/>
      <c r="AD35" s="691"/>
      <c r="AE35" s="691"/>
      <c r="AF35" s="691"/>
      <c r="AG35" s="691"/>
      <c r="AH35" s="691"/>
      <c r="AI35" s="691"/>
      <c r="AJ35" s="691"/>
      <c r="AK35" s="686"/>
      <c r="AL35" s="691"/>
      <c r="AM35" s="691"/>
      <c r="AN35" s="689"/>
      <c r="AO35" s="689"/>
      <c r="AP35" s="689"/>
      <c r="AQ35" s="690"/>
      <c r="AR35" s="690"/>
      <c r="AS35" s="92"/>
      <c r="AT35" s="92"/>
      <c r="AU35" s="92"/>
    </row>
    <row r="36" spans="1:47" s="130" customFormat="1" ht="14.25" x14ac:dyDescent="0.2">
      <c r="A36" s="681"/>
      <c r="B36" s="1237" t="s">
        <v>257</v>
      </c>
      <c r="C36" s="1271">
        <v>0.11534999999999999</v>
      </c>
      <c r="D36" s="1271"/>
      <c r="E36" s="1263"/>
      <c r="F36" s="1271">
        <v>0.1</v>
      </c>
      <c r="G36" s="1271"/>
      <c r="H36" s="1271">
        <v>4.3E-3</v>
      </c>
      <c r="I36" s="1271"/>
      <c r="J36" s="1271"/>
      <c r="K36" s="1271">
        <v>0</v>
      </c>
      <c r="L36" s="1270"/>
      <c r="M36" s="1239"/>
      <c r="N36" s="193"/>
      <c r="O36" s="687"/>
      <c r="P36" s="691"/>
      <c r="Q36" s="691"/>
      <c r="R36" s="692"/>
      <c r="S36" s="692"/>
      <c r="T36" s="691"/>
      <c r="U36" s="691"/>
      <c r="V36" s="693"/>
      <c r="W36" s="693"/>
      <c r="X36" s="693"/>
      <c r="Y36" s="691"/>
      <c r="Z36" s="691"/>
      <c r="AA36" s="691"/>
      <c r="AB36" s="691"/>
      <c r="AC36" s="691"/>
      <c r="AD36" s="691"/>
      <c r="AE36" s="691"/>
      <c r="AF36" s="691"/>
      <c r="AG36" s="691"/>
      <c r="AH36" s="691"/>
      <c r="AI36" s="691"/>
      <c r="AJ36" s="691"/>
      <c r="AK36" s="686"/>
      <c r="AL36" s="691"/>
      <c r="AM36" s="691"/>
      <c r="AN36" s="689"/>
      <c r="AO36" s="689"/>
      <c r="AP36" s="689"/>
      <c r="AQ36" s="690"/>
      <c r="AR36" s="690"/>
      <c r="AS36" s="92"/>
      <c r="AT36" s="92"/>
      <c r="AU36" s="92"/>
    </row>
    <row r="37" spans="1:47" s="130" customFormat="1" ht="14.25" x14ac:dyDescent="0.2">
      <c r="A37" s="681"/>
      <c r="B37" s="1237" t="s">
        <v>258</v>
      </c>
      <c r="C37" s="1263"/>
      <c r="D37" s="1263"/>
      <c r="E37" s="1271"/>
      <c r="F37" s="1263"/>
      <c r="G37" s="1263"/>
      <c r="H37" s="1263"/>
      <c r="I37" s="1263"/>
      <c r="J37" s="1263"/>
      <c r="K37" s="1263"/>
      <c r="L37" s="1263"/>
      <c r="M37" s="1239"/>
      <c r="N37" s="193"/>
      <c r="O37" s="687"/>
      <c r="P37" s="691"/>
      <c r="Q37" s="691"/>
      <c r="R37" s="692"/>
      <c r="S37" s="692"/>
      <c r="T37" s="691"/>
      <c r="U37" s="691"/>
      <c r="V37" s="693"/>
      <c r="W37" s="693"/>
      <c r="X37" s="693"/>
      <c r="Y37" s="691"/>
      <c r="Z37" s="691"/>
      <c r="AA37" s="691"/>
      <c r="AB37" s="691"/>
      <c r="AC37" s="691"/>
      <c r="AD37" s="691"/>
      <c r="AE37" s="691"/>
      <c r="AF37" s="691"/>
      <c r="AG37" s="691"/>
      <c r="AH37" s="691"/>
      <c r="AI37" s="691"/>
      <c r="AJ37" s="691"/>
      <c r="AK37" s="686"/>
      <c r="AL37" s="691"/>
      <c r="AM37" s="691"/>
      <c r="AN37" s="689"/>
      <c r="AO37" s="689"/>
      <c r="AP37" s="689"/>
      <c r="AQ37" s="690"/>
      <c r="AR37" s="690"/>
      <c r="AS37" s="92"/>
      <c r="AT37" s="92"/>
      <c r="AU37" s="92"/>
    </row>
    <row r="38" spans="1:47" s="130" customFormat="1" ht="14.25" x14ac:dyDescent="0.2">
      <c r="A38" s="681"/>
      <c r="B38" s="1237" t="s">
        <v>259</v>
      </c>
      <c r="C38" s="1263"/>
      <c r="D38" s="1263"/>
      <c r="E38" s="1263"/>
      <c r="F38" s="1263"/>
      <c r="G38" s="1263"/>
      <c r="H38" s="1263"/>
      <c r="I38" s="1263"/>
      <c r="J38" s="1263"/>
      <c r="K38" s="1263"/>
      <c r="L38" s="1263"/>
      <c r="M38" s="1239"/>
      <c r="N38" s="193"/>
      <c r="O38" s="687"/>
      <c r="P38" s="691"/>
      <c r="Q38" s="691"/>
      <c r="R38" s="692"/>
      <c r="S38" s="692"/>
      <c r="T38" s="691"/>
      <c r="U38" s="691"/>
      <c r="V38" s="693"/>
      <c r="W38" s="693"/>
      <c r="X38" s="693"/>
      <c r="Y38" s="691"/>
      <c r="Z38" s="691"/>
      <c r="AA38" s="691"/>
      <c r="AB38" s="691"/>
      <c r="AC38" s="691"/>
      <c r="AD38" s="691"/>
      <c r="AE38" s="691"/>
      <c r="AF38" s="691"/>
      <c r="AG38" s="691"/>
      <c r="AH38" s="691"/>
      <c r="AI38" s="691"/>
      <c r="AJ38" s="691"/>
      <c r="AK38" s="686"/>
      <c r="AL38" s="691"/>
      <c r="AM38" s="691"/>
      <c r="AN38" s="689"/>
      <c r="AO38" s="689"/>
      <c r="AP38" s="689"/>
      <c r="AQ38" s="690"/>
      <c r="AR38" s="690"/>
      <c r="AS38" s="92"/>
      <c r="AT38" s="92"/>
      <c r="AU38" s="92"/>
    </row>
    <row r="39" spans="1:47" s="130" customFormat="1" ht="15" thickBot="1" x14ac:dyDescent="0.25">
      <c r="A39" s="681"/>
      <c r="B39" s="1267" t="s">
        <v>260</v>
      </c>
      <c r="C39" s="1263"/>
      <c r="D39" s="1263"/>
      <c r="E39" s="1263"/>
      <c r="F39" s="1263"/>
      <c r="G39" s="1263"/>
      <c r="H39" s="1263"/>
      <c r="I39" s="1263"/>
      <c r="J39" s="1263"/>
      <c r="K39" s="1263"/>
      <c r="L39" s="1263"/>
      <c r="M39" s="1239"/>
      <c r="N39" s="193"/>
      <c r="O39" s="687"/>
      <c r="P39" s="691"/>
      <c r="Q39" s="691"/>
      <c r="R39" s="692"/>
      <c r="S39" s="692"/>
      <c r="T39" s="691"/>
      <c r="U39" s="691"/>
      <c r="V39" s="693"/>
      <c r="W39" s="693"/>
      <c r="X39" s="693"/>
      <c r="Y39" s="691"/>
      <c r="Z39" s="691"/>
      <c r="AA39" s="691"/>
      <c r="AB39" s="691"/>
      <c r="AC39" s="691"/>
      <c r="AD39" s="691"/>
      <c r="AE39" s="691"/>
      <c r="AF39" s="691"/>
      <c r="AG39" s="691"/>
      <c r="AH39" s="691"/>
      <c r="AI39" s="691"/>
      <c r="AJ39" s="691"/>
      <c r="AK39" s="686"/>
      <c r="AL39" s="691"/>
      <c r="AM39" s="691"/>
      <c r="AN39" s="689"/>
      <c r="AO39" s="689"/>
      <c r="AP39" s="689"/>
      <c r="AQ39" s="690"/>
      <c r="AR39" s="690"/>
      <c r="AS39" s="92"/>
      <c r="AT39" s="92"/>
      <c r="AU39" s="92"/>
    </row>
    <row r="40" spans="1:47" s="130" customFormat="1" ht="15.75" thickBot="1" x14ac:dyDescent="0.3">
      <c r="A40" s="681"/>
      <c r="B40" s="1249"/>
      <c r="C40" s="1269" t="s">
        <v>521</v>
      </c>
      <c r="D40" s="1269"/>
      <c r="E40" s="1269"/>
      <c r="F40" s="1269"/>
      <c r="G40" s="1279"/>
      <c r="H40" s="1280"/>
      <c r="I40" s="1280"/>
      <c r="J40" s="1280"/>
      <c r="K40" s="1280"/>
      <c r="L40" s="1280"/>
      <c r="M40" s="1239"/>
      <c r="N40" s="193"/>
      <c r="O40" s="687"/>
      <c r="P40" s="691"/>
      <c r="Q40" s="691"/>
      <c r="R40" s="692"/>
      <c r="S40" s="692"/>
      <c r="T40" s="691"/>
      <c r="U40" s="691"/>
      <c r="V40" s="693"/>
      <c r="W40" s="693"/>
      <c r="X40" s="693"/>
      <c r="Y40" s="691"/>
      <c r="Z40" s="691"/>
      <c r="AA40" s="691"/>
      <c r="AB40" s="691"/>
      <c r="AC40" s="691"/>
      <c r="AD40" s="691"/>
      <c r="AE40" s="691"/>
      <c r="AF40" s="691"/>
      <c r="AG40" s="691"/>
      <c r="AH40" s="691"/>
      <c r="AI40" s="691"/>
      <c r="AJ40" s="691"/>
      <c r="AK40" s="686"/>
      <c r="AL40" s="691"/>
      <c r="AM40" s="691"/>
      <c r="AN40" s="689"/>
      <c r="AO40" s="689"/>
      <c r="AP40" s="689"/>
      <c r="AQ40" s="690"/>
      <c r="AR40" s="690"/>
      <c r="AS40" s="92"/>
      <c r="AT40" s="92"/>
      <c r="AU40" s="92"/>
    </row>
    <row r="41" spans="1:47" s="130" customFormat="1" ht="45" x14ac:dyDescent="0.2">
      <c r="A41" s="681"/>
      <c r="B41" s="1253" t="s">
        <v>263</v>
      </c>
      <c r="C41" s="1254" t="s">
        <v>823</v>
      </c>
      <c r="D41" s="1254"/>
      <c r="E41" s="1254"/>
      <c r="F41" s="1254" t="s">
        <v>594</v>
      </c>
      <c r="G41" s="1254"/>
      <c r="H41" s="1280"/>
      <c r="I41" s="1280"/>
      <c r="J41" s="1280"/>
      <c r="K41" s="1280"/>
      <c r="L41" s="1280"/>
      <c r="M41" s="1239"/>
      <c r="N41" s="193"/>
      <c r="O41" s="687"/>
      <c r="P41" s="691"/>
      <c r="Q41" s="691"/>
      <c r="R41" s="692"/>
      <c r="S41" s="692"/>
      <c r="T41" s="691"/>
      <c r="U41" s="691"/>
      <c r="V41" s="693"/>
      <c r="W41" s="693"/>
      <c r="X41" s="693"/>
      <c r="Y41" s="691"/>
      <c r="Z41" s="691"/>
      <c r="AA41" s="691"/>
      <c r="AB41" s="691"/>
      <c r="AC41" s="691"/>
      <c r="AD41" s="691"/>
      <c r="AE41" s="691"/>
      <c r="AF41" s="691"/>
      <c r="AG41" s="691"/>
      <c r="AH41" s="691"/>
      <c r="AI41" s="691"/>
      <c r="AJ41" s="691"/>
      <c r="AK41" s="686"/>
      <c r="AL41" s="691"/>
      <c r="AM41" s="691"/>
      <c r="AN41" s="689"/>
      <c r="AO41" s="689"/>
      <c r="AP41" s="689"/>
      <c r="AQ41" s="690"/>
      <c r="AR41" s="690"/>
      <c r="AS41" s="92"/>
      <c r="AT41" s="92"/>
      <c r="AU41" s="92"/>
    </row>
    <row r="42" spans="1:47" s="130" customFormat="1" ht="14.25" x14ac:dyDescent="0.2">
      <c r="A42" s="681"/>
      <c r="B42" s="1237" t="s">
        <v>257</v>
      </c>
      <c r="C42" s="1263"/>
      <c r="D42" s="1263"/>
      <c r="E42" s="1263"/>
      <c r="F42" s="1263"/>
      <c r="G42" s="1263"/>
      <c r="H42" s="1280"/>
      <c r="I42" s="1280"/>
      <c r="J42" s="1280"/>
      <c r="K42" s="1280"/>
      <c r="L42" s="1280"/>
      <c r="M42" s="1239"/>
      <c r="N42" s="193"/>
      <c r="O42" s="189"/>
      <c r="P42" s="200"/>
      <c r="Q42" s="200"/>
      <c r="R42" s="199"/>
      <c r="S42" s="199"/>
      <c r="T42" s="200"/>
      <c r="U42" s="200"/>
      <c r="V42" s="682"/>
      <c r="W42" s="682"/>
      <c r="X42" s="682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193"/>
      <c r="AL42" s="200"/>
      <c r="AM42" s="200"/>
      <c r="AN42" s="133"/>
      <c r="AO42" s="133"/>
      <c r="AP42" s="133"/>
      <c r="AQ42" s="135"/>
      <c r="AR42" s="135"/>
      <c r="AS42" s="92"/>
      <c r="AT42" s="92"/>
      <c r="AU42" s="92"/>
    </row>
    <row r="43" spans="1:47" s="130" customFormat="1" ht="14.25" x14ac:dyDescent="0.2">
      <c r="A43" s="681"/>
      <c r="B43" s="1237" t="s">
        <v>258</v>
      </c>
      <c r="C43" s="1263"/>
      <c r="D43" s="1263"/>
      <c r="E43" s="1263"/>
      <c r="F43" s="1263"/>
      <c r="G43" s="1263"/>
      <c r="H43" s="1280"/>
      <c r="I43" s="1280"/>
      <c r="J43" s="1280"/>
      <c r="K43" s="1280"/>
      <c r="L43" s="1280"/>
      <c r="M43" s="1239"/>
      <c r="N43" s="193"/>
      <c r="O43" s="189"/>
      <c r="P43" s="200"/>
      <c r="Q43" s="200"/>
      <c r="R43" s="199"/>
      <c r="S43" s="199"/>
      <c r="T43" s="200"/>
      <c r="U43" s="200"/>
      <c r="V43" s="682"/>
      <c r="W43" s="682"/>
      <c r="X43" s="682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193"/>
      <c r="AL43" s="200"/>
      <c r="AM43" s="200"/>
      <c r="AN43" s="133"/>
      <c r="AO43" s="133"/>
      <c r="AP43" s="133"/>
      <c r="AQ43" s="135"/>
      <c r="AR43" s="135"/>
      <c r="AS43" s="92"/>
      <c r="AT43" s="92"/>
      <c r="AU43" s="92"/>
    </row>
    <row r="44" spans="1:47" s="130" customFormat="1" ht="14.25" x14ac:dyDescent="0.2">
      <c r="A44" s="681"/>
      <c r="B44" s="1237" t="s">
        <v>259</v>
      </c>
      <c r="C44" s="1274">
        <v>0</v>
      </c>
      <c r="D44" s="1281"/>
      <c r="E44" s="1263"/>
      <c r="F44" s="1274">
        <v>0</v>
      </c>
      <c r="G44" s="1263"/>
      <c r="H44" s="1280"/>
      <c r="I44" s="1280"/>
      <c r="J44" s="1280"/>
      <c r="K44" s="1280"/>
      <c r="L44" s="1280"/>
      <c r="M44" s="1280"/>
      <c r="N44" s="199"/>
      <c r="O44" s="189"/>
      <c r="P44" s="200"/>
      <c r="Q44" s="200"/>
      <c r="R44" s="199"/>
      <c r="S44" s="199"/>
      <c r="T44" s="200"/>
      <c r="U44" s="200"/>
      <c r="V44" s="682"/>
      <c r="W44" s="682"/>
      <c r="X44" s="682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193"/>
      <c r="AL44" s="200"/>
      <c r="AM44" s="200"/>
      <c r="AN44" s="133"/>
      <c r="AO44" s="133"/>
      <c r="AP44" s="133"/>
      <c r="AQ44" s="135"/>
      <c r="AR44" s="135"/>
      <c r="AS44" s="92"/>
      <c r="AT44" s="92"/>
      <c r="AU44" s="92"/>
    </row>
    <row r="45" spans="1:47" s="130" customFormat="1" ht="15" thickBot="1" x14ac:dyDescent="0.25">
      <c r="A45" s="681"/>
      <c r="B45" s="1267" t="s">
        <v>260</v>
      </c>
      <c r="C45" s="1263"/>
      <c r="D45" s="1263"/>
      <c r="E45" s="1271"/>
      <c r="F45" s="1263"/>
      <c r="G45" s="1263"/>
      <c r="H45" s="1280"/>
      <c r="I45" s="1280"/>
      <c r="J45" s="1280"/>
      <c r="K45" s="1280"/>
      <c r="L45" s="1280"/>
      <c r="M45" s="1280"/>
      <c r="N45" s="199"/>
      <c r="O45" s="189"/>
      <c r="P45" s="200"/>
      <c r="Q45" s="200"/>
      <c r="R45" s="199"/>
      <c r="S45" s="199"/>
      <c r="T45" s="200"/>
      <c r="U45" s="200"/>
      <c r="V45" s="682"/>
      <c r="W45" s="682"/>
      <c r="X45" s="682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193"/>
      <c r="AL45" s="200"/>
      <c r="AM45" s="200"/>
      <c r="AN45" s="133"/>
      <c r="AO45" s="133"/>
      <c r="AP45" s="133"/>
      <c r="AQ45" s="135"/>
      <c r="AR45" s="135"/>
      <c r="AS45" s="92"/>
      <c r="AT45" s="92"/>
      <c r="AU45" s="92"/>
    </row>
    <row r="46" spans="1:47" s="130" customFormat="1" ht="15.75" thickBot="1" x14ac:dyDescent="0.3">
      <c r="A46" s="138"/>
      <c r="B46" s="1282" t="s">
        <v>676</v>
      </c>
      <c r="C46" s="1283">
        <v>0.2</v>
      </c>
      <c r="D46" s="1284"/>
      <c r="E46" s="1285"/>
      <c r="F46" s="1284"/>
      <c r="G46" s="1285"/>
      <c r="H46" s="1280"/>
      <c r="I46" s="1280"/>
      <c r="J46" s="1280"/>
      <c r="K46" s="1286"/>
      <c r="L46" s="1286"/>
      <c r="M46" s="1286"/>
      <c r="N46" s="200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193"/>
      <c r="AL46" s="200"/>
      <c r="AM46" s="200"/>
      <c r="AN46" s="133"/>
      <c r="AO46" s="133"/>
      <c r="AP46" s="133"/>
      <c r="AQ46" s="135"/>
      <c r="AR46" s="135"/>
      <c r="AS46" s="92"/>
      <c r="AT46" s="92"/>
      <c r="AU46" s="92"/>
    </row>
    <row r="47" spans="1:47" s="130" customFormat="1" ht="9" customHeight="1" x14ac:dyDescent="0.25">
      <c r="A47" s="129"/>
      <c r="B47" s="1244"/>
      <c r="C47" s="1287"/>
      <c r="D47" s="1235"/>
      <c r="E47" s="1235"/>
      <c r="F47" s="1235"/>
      <c r="G47" s="1235"/>
      <c r="H47" s="1235"/>
      <c r="I47" s="1235"/>
      <c r="J47" s="1235"/>
      <c r="K47" s="1235"/>
      <c r="L47" s="1235"/>
      <c r="M47" s="1235"/>
      <c r="N47" s="190"/>
      <c r="O47" s="190"/>
      <c r="P47" s="190"/>
      <c r="Q47" s="190"/>
      <c r="R47" s="190"/>
      <c r="S47" s="190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92"/>
      <c r="AO47" s="92"/>
      <c r="AP47" s="92"/>
      <c r="AQ47" s="92"/>
      <c r="AR47" s="92"/>
      <c r="AS47" s="92"/>
      <c r="AT47" s="92"/>
      <c r="AU47" s="92"/>
    </row>
    <row r="48" spans="1:47" s="127" customFormat="1" ht="15" x14ac:dyDescent="0.25">
      <c r="A48" s="126" t="s">
        <v>91</v>
      </c>
      <c r="B48" s="1288" t="s">
        <v>752</v>
      </c>
      <c r="C48" s="1289"/>
      <c r="D48" s="1289"/>
      <c r="E48" s="1289"/>
      <c r="F48" s="1289"/>
      <c r="G48" s="1289"/>
      <c r="H48" s="1289"/>
      <c r="I48" s="1290"/>
      <c r="J48" s="1290"/>
      <c r="K48" s="1290"/>
      <c r="L48" s="1290"/>
      <c r="M48" s="1290"/>
      <c r="N48" s="660"/>
      <c r="O48" s="660"/>
      <c r="P48" s="660"/>
      <c r="Q48" s="660"/>
      <c r="R48" s="660"/>
      <c r="S48" s="660"/>
      <c r="T48" s="660"/>
      <c r="U48" s="660"/>
      <c r="V48" s="660"/>
      <c r="W48" s="660"/>
      <c r="X48" s="660"/>
      <c r="Y48" s="660"/>
      <c r="Z48" s="660"/>
      <c r="AA48" s="660"/>
      <c r="AB48" s="660"/>
      <c r="AC48" s="660"/>
      <c r="AD48" s="660"/>
      <c r="AE48" s="660"/>
      <c r="AF48" s="660"/>
      <c r="AG48" s="660"/>
      <c r="AH48" s="660"/>
      <c r="AI48" s="660"/>
      <c r="AJ48" s="660"/>
      <c r="AK48" s="660"/>
      <c r="AL48" s="660"/>
      <c r="AM48" s="660"/>
      <c r="AN48" s="92"/>
      <c r="AO48" s="92"/>
      <c r="AP48" s="92"/>
      <c r="AQ48" s="92"/>
      <c r="AR48" s="92"/>
      <c r="AS48" s="92"/>
      <c r="AT48" s="92"/>
      <c r="AU48" s="92"/>
    </row>
    <row r="49" spans="1:47" s="130" customFormat="1" ht="8.25" customHeight="1" x14ac:dyDescent="0.25">
      <c r="A49" s="129"/>
      <c r="B49" s="1244"/>
      <c r="C49" s="1287"/>
      <c r="D49" s="1235"/>
      <c r="E49" s="1235"/>
      <c r="F49" s="1235"/>
      <c r="G49" s="1235"/>
      <c r="H49" s="1235"/>
      <c r="I49" s="1235"/>
      <c r="J49" s="1235"/>
      <c r="K49" s="1235"/>
      <c r="L49" s="1235"/>
      <c r="M49" s="1235"/>
      <c r="N49" s="190"/>
      <c r="O49" s="190"/>
      <c r="P49" s="190"/>
      <c r="Q49" s="190"/>
      <c r="R49" s="190"/>
      <c r="S49" s="190"/>
      <c r="T49" s="192"/>
      <c r="U49" s="192"/>
      <c r="V49" s="192"/>
      <c r="W49" s="192"/>
      <c r="X49" s="192"/>
      <c r="Y49" s="192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89"/>
      <c r="AK49" s="189"/>
      <c r="AL49" s="189"/>
      <c r="AM49" s="189"/>
      <c r="AN49" s="92"/>
      <c r="AO49" s="92"/>
      <c r="AP49" s="92"/>
      <c r="AQ49" s="92"/>
      <c r="AR49" s="92"/>
      <c r="AS49" s="92"/>
      <c r="AT49" s="92"/>
      <c r="AU49" s="92"/>
    </row>
    <row r="50" spans="1:47" s="130" customFormat="1" ht="15" x14ac:dyDescent="0.25">
      <c r="A50" s="131"/>
      <c r="B50" s="1291" t="s">
        <v>263</v>
      </c>
      <c r="C50" s="1292" t="s">
        <v>278</v>
      </c>
      <c r="D50" s="1292" t="s">
        <v>517</v>
      </c>
      <c r="E50" s="1292" t="s">
        <v>144</v>
      </c>
      <c r="F50" s="1292" t="s">
        <v>909</v>
      </c>
      <c r="G50" s="1292" t="s">
        <v>645</v>
      </c>
      <c r="H50" s="1292" t="s">
        <v>595</v>
      </c>
      <c r="I50" s="1293"/>
      <c r="J50" s="1235"/>
      <c r="K50" s="1235"/>
      <c r="L50" s="1235"/>
      <c r="M50" s="1235"/>
      <c r="N50" s="190"/>
      <c r="O50" s="190"/>
      <c r="P50" s="190"/>
      <c r="Q50" s="190"/>
      <c r="R50" s="190"/>
      <c r="S50" s="190"/>
      <c r="T50" s="192"/>
      <c r="U50" s="192"/>
      <c r="V50" s="192"/>
      <c r="W50" s="192"/>
      <c r="X50" s="192"/>
      <c r="Y50" s="202"/>
      <c r="Z50" s="192"/>
      <c r="AA50" s="192"/>
      <c r="AB50" s="192"/>
      <c r="AC50" s="192"/>
      <c r="AD50" s="192"/>
      <c r="AE50" s="192"/>
      <c r="AF50" s="192"/>
      <c r="AG50" s="192"/>
      <c r="AH50" s="192"/>
      <c r="AI50" s="192"/>
      <c r="AJ50" s="189"/>
      <c r="AK50" s="189"/>
      <c r="AL50" s="189"/>
      <c r="AM50" s="189"/>
      <c r="AN50" s="92"/>
      <c r="AO50" s="92"/>
      <c r="AP50" s="92"/>
      <c r="AQ50" s="92"/>
      <c r="AR50" s="92"/>
      <c r="AS50" s="92"/>
      <c r="AT50" s="92"/>
      <c r="AU50" s="92"/>
    </row>
    <row r="51" spans="1:47" s="130" customFormat="1" ht="14.25" x14ac:dyDescent="0.2">
      <c r="A51" s="140" t="s">
        <v>92</v>
      </c>
      <c r="B51" s="1242" t="s">
        <v>281</v>
      </c>
      <c r="C51" s="1264">
        <v>0</v>
      </c>
      <c r="D51" s="1264">
        <v>0</v>
      </c>
      <c r="E51" s="1264">
        <v>0</v>
      </c>
      <c r="F51" s="1264">
        <v>0</v>
      </c>
      <c r="G51" s="1264"/>
      <c r="H51" s="1264">
        <v>1</v>
      </c>
      <c r="I51" s="1294"/>
      <c r="J51" s="1235"/>
      <c r="K51" s="1235"/>
      <c r="L51" s="1235"/>
      <c r="M51" s="1235"/>
      <c r="N51" s="190"/>
      <c r="O51" s="190"/>
      <c r="P51" s="190"/>
      <c r="Q51" s="190"/>
      <c r="R51" s="190"/>
      <c r="S51" s="190"/>
      <c r="T51" s="192"/>
      <c r="U51" s="192"/>
      <c r="V51" s="192"/>
      <c r="W51" s="192"/>
      <c r="X51" s="192"/>
      <c r="Y51" s="203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89"/>
      <c r="AK51" s="189"/>
      <c r="AL51" s="189"/>
      <c r="AM51" s="189"/>
      <c r="AN51" s="92"/>
      <c r="AO51" s="92"/>
      <c r="AP51" s="92"/>
      <c r="AQ51" s="92"/>
      <c r="AR51" s="92"/>
      <c r="AS51" s="92"/>
      <c r="AT51" s="92"/>
      <c r="AU51" s="92"/>
    </row>
    <row r="52" spans="1:47" s="130" customFormat="1" ht="14.25" x14ac:dyDescent="0.2">
      <c r="A52" s="140" t="s">
        <v>92</v>
      </c>
      <c r="B52" s="1242" t="s">
        <v>166</v>
      </c>
      <c r="C52" s="1264">
        <v>0.3</v>
      </c>
      <c r="D52" s="1264">
        <v>0</v>
      </c>
      <c r="E52" s="1264">
        <v>0.2</v>
      </c>
      <c r="F52" s="1264">
        <v>0.1</v>
      </c>
      <c r="G52" s="1264">
        <v>0.1</v>
      </c>
      <c r="H52" s="1264">
        <v>0.5</v>
      </c>
      <c r="I52" s="1294"/>
      <c r="J52" s="1235"/>
      <c r="K52" s="1235"/>
      <c r="L52" s="1235"/>
      <c r="M52" s="1235"/>
      <c r="N52" s="190"/>
      <c r="O52" s="190"/>
      <c r="P52" s="190"/>
      <c r="Q52" s="190"/>
      <c r="R52" s="190"/>
      <c r="S52" s="190"/>
      <c r="T52" s="192"/>
      <c r="U52" s="192"/>
      <c r="V52" s="192"/>
      <c r="W52" s="192"/>
      <c r="X52" s="192"/>
      <c r="Y52" s="20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89"/>
      <c r="AK52" s="189"/>
      <c r="AL52" s="189"/>
      <c r="AM52" s="189"/>
      <c r="AN52" s="92"/>
      <c r="AO52" s="92"/>
      <c r="AP52" s="92"/>
      <c r="AQ52" s="92"/>
      <c r="AR52" s="92"/>
      <c r="AS52" s="92"/>
      <c r="AT52" s="92"/>
      <c r="AU52" s="92"/>
    </row>
    <row r="53" spans="1:47" s="130" customFormat="1" ht="15" x14ac:dyDescent="0.25">
      <c r="A53" s="129"/>
      <c r="B53" s="1244"/>
      <c r="C53" s="1287"/>
      <c r="D53" s="1235"/>
      <c r="E53" s="1235"/>
      <c r="F53" s="1235"/>
      <c r="G53" s="1235"/>
      <c r="H53" s="1235"/>
      <c r="I53" s="1235"/>
      <c r="J53" s="1235"/>
      <c r="K53" s="1235"/>
      <c r="L53" s="1235"/>
      <c r="M53" s="1235"/>
      <c r="N53" s="190"/>
      <c r="O53" s="190"/>
      <c r="P53" s="190"/>
      <c r="Q53" s="190"/>
      <c r="R53" s="190"/>
      <c r="S53" s="192"/>
      <c r="T53" s="190"/>
      <c r="U53" s="192"/>
      <c r="V53" s="192"/>
      <c r="W53" s="192"/>
      <c r="X53" s="192"/>
      <c r="Y53" s="192"/>
      <c r="Z53" s="192"/>
      <c r="AA53" s="192"/>
      <c r="AB53" s="192"/>
      <c r="AC53" s="192"/>
      <c r="AD53" s="192"/>
      <c r="AE53" s="192"/>
      <c r="AF53" s="192"/>
      <c r="AG53" s="192"/>
      <c r="AH53" s="192"/>
      <c r="AI53" s="192"/>
      <c r="AJ53" s="189"/>
      <c r="AK53" s="189"/>
      <c r="AL53" s="189"/>
      <c r="AM53" s="189"/>
      <c r="AN53" s="92"/>
      <c r="AO53" s="92"/>
      <c r="AP53" s="92"/>
      <c r="AQ53" s="92"/>
      <c r="AR53" s="92"/>
      <c r="AS53" s="92"/>
      <c r="AT53" s="92"/>
      <c r="AU53" s="92"/>
    </row>
    <row r="54" spans="1:47" s="127" customFormat="1" ht="15" x14ac:dyDescent="0.2">
      <c r="A54" s="126">
        <v>3</v>
      </c>
      <c r="B54" s="1295" t="s">
        <v>254</v>
      </c>
      <c r="C54" s="1296"/>
      <c r="D54" s="1296"/>
      <c r="E54" s="1297"/>
      <c r="F54" s="1297"/>
      <c r="G54" s="1297"/>
      <c r="H54" s="1297"/>
      <c r="I54" s="1297"/>
      <c r="J54" s="1297"/>
      <c r="K54" s="1297"/>
      <c r="L54" s="1297"/>
      <c r="M54" s="1297"/>
      <c r="N54" s="581"/>
      <c r="O54" s="581"/>
      <c r="P54" s="581"/>
      <c r="Q54" s="581"/>
      <c r="R54" s="581"/>
      <c r="S54" s="581"/>
      <c r="T54" s="581"/>
      <c r="U54" s="581"/>
      <c r="V54" s="581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92"/>
      <c r="AO54" s="92"/>
      <c r="AP54" s="92"/>
      <c r="AQ54" s="92"/>
      <c r="AR54" s="92"/>
      <c r="AS54" s="92"/>
      <c r="AT54" s="92"/>
      <c r="AU54" s="92"/>
    </row>
    <row r="55" spans="1:47" s="130" customFormat="1" ht="15" x14ac:dyDescent="0.25">
      <c r="A55" s="128"/>
      <c r="B55" s="1233" t="s">
        <v>263</v>
      </c>
      <c r="C55" s="1234" t="s">
        <v>254</v>
      </c>
      <c r="D55" s="1234" t="s">
        <v>283</v>
      </c>
      <c r="E55" s="1235"/>
      <c r="F55" s="1235"/>
      <c r="G55" s="1235"/>
      <c r="H55" s="1235"/>
      <c r="I55" s="1235"/>
      <c r="J55" s="1235"/>
      <c r="K55" s="1235"/>
      <c r="L55" s="1235"/>
      <c r="M55" s="1235"/>
      <c r="N55" s="190"/>
      <c r="O55" s="190"/>
      <c r="P55" s="190"/>
      <c r="Q55" s="190"/>
      <c r="R55" s="190"/>
      <c r="S55" s="190"/>
      <c r="T55" s="190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89"/>
      <c r="AK55" s="189"/>
      <c r="AL55" s="189"/>
      <c r="AM55" s="189"/>
      <c r="AN55" s="92"/>
      <c r="AO55" s="92"/>
      <c r="AP55" s="92"/>
      <c r="AQ55" s="92"/>
      <c r="AR55" s="92"/>
      <c r="AS55" s="92"/>
      <c r="AT55" s="92"/>
      <c r="AU55" s="92"/>
    </row>
    <row r="56" spans="1:47" ht="14.25" x14ac:dyDescent="0.2">
      <c r="A56" s="131" t="s">
        <v>109</v>
      </c>
      <c r="B56" s="1237" t="s">
        <v>257</v>
      </c>
      <c r="C56" s="1238">
        <v>0.5</v>
      </c>
      <c r="D56" s="1271">
        <v>0</v>
      </c>
      <c r="E56" s="1239"/>
      <c r="F56" s="1239"/>
      <c r="G56" s="1239"/>
      <c r="H56" s="1239"/>
      <c r="I56" s="1239"/>
      <c r="J56" s="1239"/>
      <c r="K56" s="1239"/>
      <c r="L56" s="1239"/>
      <c r="M56" s="1239"/>
      <c r="N56" s="193"/>
      <c r="O56" s="193"/>
      <c r="P56" s="193"/>
      <c r="Q56" s="193"/>
      <c r="R56" s="193"/>
      <c r="S56" s="190"/>
      <c r="T56" s="193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</row>
    <row r="57" spans="1:47" ht="14.25" x14ac:dyDescent="0.2">
      <c r="A57" s="131" t="s">
        <v>109</v>
      </c>
      <c r="B57" s="1237" t="s">
        <v>259</v>
      </c>
      <c r="C57" s="1238">
        <v>0.5</v>
      </c>
      <c r="D57" s="1271">
        <v>0</v>
      </c>
      <c r="E57" s="1239"/>
      <c r="F57" s="1239"/>
      <c r="G57" s="1239"/>
      <c r="H57" s="1239"/>
      <c r="I57" s="1239"/>
      <c r="J57" s="1239"/>
      <c r="K57" s="1239"/>
      <c r="L57" s="1239"/>
      <c r="M57" s="1239"/>
      <c r="N57" s="193"/>
      <c r="O57" s="193"/>
      <c r="P57" s="193"/>
      <c r="Q57" s="193"/>
      <c r="R57" s="193"/>
      <c r="S57" s="193"/>
      <c r="T57" s="193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</row>
    <row r="58" spans="1:47" ht="14.25" x14ac:dyDescent="0.2">
      <c r="A58" s="131" t="s">
        <v>109</v>
      </c>
      <c r="B58" s="1242" t="s">
        <v>281</v>
      </c>
      <c r="C58" s="1238">
        <v>0.5</v>
      </c>
      <c r="D58" s="1271">
        <v>0</v>
      </c>
      <c r="E58" s="1239"/>
      <c r="F58" s="1239"/>
      <c r="G58" s="1239"/>
      <c r="H58" s="1239"/>
      <c r="I58" s="1239"/>
      <c r="J58" s="1239"/>
      <c r="K58" s="1239"/>
      <c r="L58" s="1239"/>
      <c r="M58" s="1239"/>
      <c r="N58" s="193"/>
      <c r="O58" s="193"/>
      <c r="P58" s="193"/>
      <c r="Q58" s="193"/>
      <c r="R58" s="193"/>
      <c r="S58" s="193"/>
      <c r="T58" s="193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</row>
    <row r="59" spans="1:47" ht="14.25" x14ac:dyDescent="0.2">
      <c r="A59" s="131" t="s">
        <v>109</v>
      </c>
      <c r="B59" s="1237" t="s">
        <v>261</v>
      </c>
      <c r="C59" s="1238">
        <v>0.5</v>
      </c>
      <c r="D59" s="1271">
        <v>0</v>
      </c>
      <c r="E59" s="1239"/>
      <c r="F59" s="1239"/>
      <c r="G59" s="1239"/>
      <c r="H59" s="1239"/>
      <c r="I59" s="1239"/>
      <c r="J59" s="1239"/>
      <c r="K59" s="1239"/>
      <c r="L59" s="1239"/>
      <c r="M59" s="1239"/>
      <c r="N59" s="193"/>
      <c r="O59" s="193"/>
      <c r="P59" s="193"/>
      <c r="Q59" s="193"/>
      <c r="R59" s="193"/>
      <c r="S59" s="193"/>
      <c r="T59" s="193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</row>
    <row r="60" spans="1:47" ht="14.25" x14ac:dyDescent="0.2">
      <c r="A60" s="131" t="s">
        <v>109</v>
      </c>
      <c r="B60" s="1237" t="s">
        <v>901</v>
      </c>
      <c r="C60" s="1238">
        <v>0.5</v>
      </c>
      <c r="D60" s="1271">
        <v>0</v>
      </c>
      <c r="E60" s="1239"/>
      <c r="F60" s="1239"/>
      <c r="G60" s="1239"/>
      <c r="H60" s="1239"/>
      <c r="I60" s="1239"/>
      <c r="J60" s="1239"/>
      <c r="K60" s="1239"/>
      <c r="L60" s="1239"/>
      <c r="M60" s="1239"/>
      <c r="N60" s="193"/>
      <c r="O60" s="193"/>
      <c r="P60" s="193"/>
      <c r="Q60" s="193"/>
      <c r="R60" s="193"/>
      <c r="S60" s="193"/>
      <c r="T60" s="193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</row>
    <row r="61" spans="1:47" ht="13.5" customHeight="1" x14ac:dyDescent="0.2">
      <c r="A61" s="129"/>
      <c r="B61" s="1242" t="s">
        <v>902</v>
      </c>
      <c r="C61" s="1238">
        <v>0.5</v>
      </c>
      <c r="D61" s="1271">
        <v>0</v>
      </c>
      <c r="E61" s="1239"/>
      <c r="F61" s="1239"/>
      <c r="G61" s="1239"/>
      <c r="H61" s="1239"/>
      <c r="I61" s="1239"/>
      <c r="J61" s="1239"/>
      <c r="K61" s="1239"/>
      <c r="L61" s="1239"/>
      <c r="M61" s="1239"/>
      <c r="N61" s="193"/>
      <c r="O61" s="193"/>
      <c r="P61" s="193"/>
      <c r="Q61" s="193"/>
      <c r="R61" s="193"/>
      <c r="S61" s="193"/>
      <c r="T61" s="193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</row>
    <row r="62" spans="1:47" ht="14.25" x14ac:dyDescent="0.2">
      <c r="A62" s="129"/>
      <c r="B62" s="1298"/>
      <c r="C62" s="1299"/>
      <c r="D62" s="1239"/>
      <c r="E62" s="1239"/>
      <c r="F62" s="1239"/>
      <c r="G62" s="1239"/>
      <c r="H62" s="1239"/>
      <c r="I62" s="1239"/>
      <c r="J62" s="1239"/>
      <c r="K62" s="1239"/>
      <c r="L62" s="1239"/>
      <c r="M62" s="1239"/>
      <c r="N62" s="193"/>
      <c r="O62" s="193"/>
      <c r="P62" s="193"/>
      <c r="Q62" s="193"/>
      <c r="R62" s="193"/>
      <c r="S62" s="193"/>
      <c r="T62" s="193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</row>
    <row r="63" spans="1:47" s="127" customFormat="1" ht="15" x14ac:dyDescent="0.2">
      <c r="A63" s="126">
        <v>4</v>
      </c>
      <c r="B63" s="1295" t="s">
        <v>255</v>
      </c>
      <c r="C63" s="1295" t="s">
        <v>288</v>
      </c>
      <c r="D63" s="1296"/>
      <c r="E63" s="1297"/>
      <c r="F63" s="1297"/>
      <c r="G63" s="1297"/>
      <c r="H63" s="1297"/>
      <c r="I63" s="1297"/>
      <c r="J63" s="1297"/>
      <c r="K63" s="1297"/>
      <c r="L63" s="1297"/>
      <c r="M63" s="1297"/>
      <c r="N63" s="581"/>
      <c r="O63" s="581"/>
      <c r="P63" s="581"/>
      <c r="Q63" s="581"/>
      <c r="R63" s="581"/>
      <c r="S63" s="581"/>
      <c r="T63" s="581"/>
      <c r="U63" s="581"/>
      <c r="V63" s="581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92"/>
      <c r="AO63" s="92"/>
      <c r="AP63" s="92"/>
      <c r="AQ63" s="92"/>
      <c r="AR63" s="92"/>
      <c r="AS63" s="92"/>
      <c r="AT63" s="92"/>
      <c r="AU63" s="92"/>
    </row>
    <row r="64" spans="1:47" s="130" customFormat="1" ht="15" x14ac:dyDescent="0.25">
      <c r="A64" s="128"/>
      <c r="B64" s="1233" t="s">
        <v>263</v>
      </c>
      <c r="C64" s="1234" t="s">
        <v>255</v>
      </c>
      <c r="D64" s="1234" t="s">
        <v>283</v>
      </c>
      <c r="E64" s="1235"/>
      <c r="F64" s="1235"/>
      <c r="G64" s="1235"/>
      <c r="H64" s="1235"/>
      <c r="I64" s="1235"/>
      <c r="J64" s="1235"/>
      <c r="K64" s="1235"/>
      <c r="L64" s="1235"/>
      <c r="M64" s="1235"/>
      <c r="N64" s="190"/>
      <c r="O64" s="190"/>
      <c r="P64" s="190"/>
      <c r="Q64" s="190"/>
      <c r="R64" s="190"/>
      <c r="S64" s="190"/>
      <c r="T64" s="190"/>
      <c r="U64" s="192"/>
      <c r="V64" s="192"/>
      <c r="W64" s="192"/>
      <c r="X64" s="192"/>
      <c r="Y64" s="192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89"/>
      <c r="AK64" s="189"/>
      <c r="AL64" s="189"/>
      <c r="AM64" s="189"/>
      <c r="AN64" s="92"/>
      <c r="AO64" s="92"/>
      <c r="AP64" s="92"/>
      <c r="AQ64" s="92"/>
      <c r="AR64" s="92"/>
      <c r="AS64" s="92"/>
      <c r="AT64" s="92"/>
      <c r="AU64" s="92"/>
    </row>
    <row r="65" spans="1:47" ht="14.25" x14ac:dyDescent="0.2">
      <c r="A65" s="131" t="s">
        <v>95</v>
      </c>
      <c r="B65" s="1300" t="s">
        <v>257</v>
      </c>
      <c r="C65" s="1301">
        <v>1</v>
      </c>
      <c r="D65" s="1271">
        <v>0</v>
      </c>
      <c r="E65" s="1239"/>
      <c r="F65" s="1239"/>
      <c r="G65" s="1239"/>
      <c r="H65" s="1239"/>
      <c r="I65" s="1239"/>
      <c r="J65" s="1239"/>
      <c r="K65" s="1239"/>
      <c r="L65" s="1239"/>
      <c r="M65" s="1239"/>
      <c r="N65" s="193"/>
      <c r="O65" s="193"/>
      <c r="P65" s="193"/>
      <c r="Q65" s="193"/>
      <c r="R65" s="193"/>
      <c r="S65" s="193"/>
      <c r="T65" s="193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</row>
    <row r="66" spans="1:47" ht="14.25" x14ac:dyDescent="0.2">
      <c r="A66" s="131" t="s">
        <v>95</v>
      </c>
      <c r="B66" s="1237" t="s">
        <v>259</v>
      </c>
      <c r="C66" s="1238">
        <v>1</v>
      </c>
      <c r="D66" s="1271">
        <v>0</v>
      </c>
      <c r="E66" s="1239"/>
      <c r="F66" s="1239"/>
      <c r="G66" s="1239"/>
      <c r="H66" s="1239"/>
      <c r="I66" s="1239"/>
      <c r="J66" s="1239"/>
      <c r="K66" s="1239"/>
      <c r="L66" s="1239"/>
      <c r="M66" s="1239"/>
      <c r="N66" s="193"/>
      <c r="O66" s="193"/>
      <c r="P66" s="193"/>
      <c r="Q66" s="193"/>
      <c r="R66" s="193"/>
      <c r="S66" s="193"/>
      <c r="T66" s="193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</row>
    <row r="67" spans="1:47" ht="14.25" x14ac:dyDescent="0.2">
      <c r="A67" s="131" t="s">
        <v>95</v>
      </c>
      <c r="B67" s="1237" t="s">
        <v>260</v>
      </c>
      <c r="C67" s="1238">
        <v>1</v>
      </c>
      <c r="D67" s="1271">
        <v>0</v>
      </c>
      <c r="E67" s="1239"/>
      <c r="F67" s="1239"/>
      <c r="G67" s="1239"/>
      <c r="H67" s="1239"/>
      <c r="I67" s="1239"/>
      <c r="J67" s="1239"/>
      <c r="K67" s="1239"/>
      <c r="L67" s="1239"/>
      <c r="M67" s="1239"/>
      <c r="N67" s="193"/>
      <c r="O67" s="193"/>
      <c r="P67" s="193"/>
      <c r="Q67" s="193"/>
      <c r="R67" s="193"/>
      <c r="S67" s="193"/>
      <c r="T67" s="193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</row>
    <row r="68" spans="1:47" ht="14.25" x14ac:dyDescent="0.2">
      <c r="A68" s="131" t="s">
        <v>95</v>
      </c>
      <c r="B68" s="1242" t="s">
        <v>281</v>
      </c>
      <c r="C68" s="1238">
        <v>1</v>
      </c>
      <c r="D68" s="1271">
        <v>0</v>
      </c>
      <c r="E68" s="1239"/>
      <c r="F68" s="1239"/>
      <c r="G68" s="1239"/>
      <c r="H68" s="1239"/>
      <c r="I68" s="1239"/>
      <c r="J68" s="1239"/>
      <c r="K68" s="1239"/>
      <c r="L68" s="1239"/>
      <c r="M68" s="1239"/>
      <c r="N68" s="193"/>
      <c r="O68" s="193"/>
      <c r="P68" s="193"/>
      <c r="Q68" s="193"/>
      <c r="R68" s="193"/>
      <c r="S68" s="193"/>
      <c r="T68" s="193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</row>
    <row r="69" spans="1:47" ht="14.25" x14ac:dyDescent="0.2">
      <c r="A69" s="131" t="s">
        <v>95</v>
      </c>
      <c r="B69" s="1237" t="s">
        <v>261</v>
      </c>
      <c r="C69" s="1238">
        <v>1</v>
      </c>
      <c r="D69" s="1271">
        <v>0</v>
      </c>
      <c r="E69" s="1239"/>
      <c r="F69" s="1239"/>
      <c r="G69" s="1239"/>
      <c r="H69" s="1239"/>
      <c r="I69" s="1239"/>
      <c r="J69" s="1239"/>
      <c r="K69" s="1239"/>
      <c r="L69" s="1239"/>
      <c r="M69" s="1239"/>
      <c r="N69" s="193"/>
      <c r="O69" s="193"/>
      <c r="P69" s="193"/>
      <c r="Q69" s="193"/>
      <c r="R69" s="193"/>
      <c r="S69" s="193"/>
      <c r="T69" s="193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</row>
    <row r="70" spans="1:47" ht="14.25" x14ac:dyDescent="0.2">
      <c r="A70" s="131" t="s">
        <v>95</v>
      </c>
      <c r="B70" s="1237" t="s">
        <v>901</v>
      </c>
      <c r="C70" s="1238">
        <v>1</v>
      </c>
      <c r="D70" s="1271">
        <v>0</v>
      </c>
      <c r="E70" s="1239"/>
      <c r="F70" s="1239"/>
      <c r="G70" s="1239"/>
      <c r="H70" s="1239"/>
      <c r="I70" s="1239"/>
      <c r="J70" s="1239"/>
      <c r="K70" s="1239"/>
      <c r="L70" s="1239"/>
      <c r="M70" s="1239"/>
      <c r="N70" s="193"/>
      <c r="O70" s="193"/>
      <c r="P70" s="193"/>
      <c r="Q70" s="193"/>
      <c r="R70" s="193"/>
      <c r="S70" s="193"/>
      <c r="T70" s="193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</row>
    <row r="71" spans="1:47" ht="13.5" customHeight="1" x14ac:dyDescent="0.2">
      <c r="A71" s="129"/>
      <c r="B71" s="1242" t="s">
        <v>902</v>
      </c>
      <c r="C71" s="1238">
        <v>1</v>
      </c>
      <c r="D71" s="1271">
        <v>0</v>
      </c>
      <c r="E71" s="1239"/>
      <c r="F71" s="1239"/>
      <c r="G71" s="1239"/>
      <c r="H71" s="1239"/>
      <c r="I71" s="1239"/>
      <c r="J71" s="1239"/>
      <c r="K71" s="1239"/>
      <c r="L71" s="1239"/>
      <c r="M71" s="1239"/>
      <c r="N71" s="193"/>
      <c r="O71" s="193"/>
      <c r="P71" s="193"/>
      <c r="Q71" s="193"/>
      <c r="R71" s="193"/>
      <c r="S71" s="193"/>
      <c r="T71" s="193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</row>
    <row r="72" spans="1:47" s="130" customFormat="1" ht="15" x14ac:dyDescent="0.25">
      <c r="A72" s="129"/>
      <c r="B72" s="1244"/>
      <c r="C72" s="1287"/>
      <c r="D72" s="1235"/>
      <c r="E72" s="1235"/>
      <c r="F72" s="1235"/>
      <c r="G72" s="1235"/>
      <c r="H72" s="1235"/>
      <c r="I72" s="1235"/>
      <c r="J72" s="1235"/>
      <c r="K72" s="1235"/>
      <c r="L72" s="1235"/>
      <c r="M72" s="1235"/>
      <c r="N72" s="190"/>
      <c r="O72" s="190"/>
      <c r="P72" s="190"/>
      <c r="Q72" s="190"/>
      <c r="R72" s="190"/>
      <c r="S72" s="190"/>
      <c r="T72" s="190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89"/>
      <c r="AK72" s="189"/>
      <c r="AL72" s="189"/>
      <c r="AM72" s="189"/>
      <c r="AN72" s="92"/>
      <c r="AO72" s="92"/>
      <c r="AP72" s="92"/>
      <c r="AQ72" s="92"/>
      <c r="AR72" s="92"/>
      <c r="AS72" s="92"/>
      <c r="AT72" s="92"/>
      <c r="AU72" s="92"/>
    </row>
    <row r="73" spans="1:47" s="127" customFormat="1" ht="15" x14ac:dyDescent="0.2">
      <c r="A73" s="126">
        <v>5</v>
      </c>
      <c r="B73" s="1295" t="s">
        <v>271</v>
      </c>
      <c r="C73" s="1296"/>
      <c r="D73" s="1296"/>
      <c r="E73" s="1296"/>
      <c r="F73" s="1296"/>
      <c r="G73" s="1296"/>
      <c r="H73" s="1297"/>
      <c r="I73" s="1297"/>
      <c r="J73" s="1297"/>
      <c r="K73" s="1297"/>
      <c r="L73" s="1297"/>
      <c r="M73" s="1297"/>
      <c r="N73" s="581"/>
      <c r="O73" s="581"/>
      <c r="P73" s="581"/>
      <c r="Q73" s="581"/>
      <c r="R73" s="581"/>
      <c r="S73" s="581"/>
      <c r="T73" s="581"/>
      <c r="U73" s="581"/>
      <c r="V73" s="581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92"/>
      <c r="AO73" s="92"/>
      <c r="AP73" s="92"/>
      <c r="AQ73" s="92"/>
      <c r="AR73" s="92"/>
      <c r="AS73" s="92"/>
      <c r="AT73" s="92"/>
      <c r="AU73" s="92"/>
    </row>
    <row r="74" spans="1:47" s="130" customFormat="1" ht="15" x14ac:dyDescent="0.25">
      <c r="A74" s="128"/>
      <c r="B74" s="1233" t="s">
        <v>263</v>
      </c>
      <c r="C74" s="1234" t="s">
        <v>252</v>
      </c>
      <c r="D74" s="1302" t="s">
        <v>929</v>
      </c>
      <c r="E74" s="1235"/>
      <c r="F74" s="1235"/>
      <c r="G74" s="1235"/>
      <c r="H74" s="1235"/>
      <c r="I74" s="1235"/>
      <c r="J74" s="1235"/>
      <c r="K74" s="1235"/>
      <c r="L74" s="1235"/>
      <c r="M74" s="1235"/>
      <c r="N74" s="190"/>
      <c r="O74" s="190"/>
      <c r="P74" s="190"/>
      <c r="Q74" s="190"/>
      <c r="R74" s="190"/>
      <c r="S74" s="190"/>
      <c r="T74" s="190"/>
      <c r="U74" s="192"/>
      <c r="V74" s="192"/>
      <c r="W74" s="192"/>
      <c r="X74" s="192"/>
      <c r="Y74" s="192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89"/>
      <c r="AK74" s="189"/>
      <c r="AL74" s="189"/>
      <c r="AM74" s="189"/>
      <c r="AN74" s="92"/>
      <c r="AO74" s="92"/>
      <c r="AP74" s="92"/>
      <c r="AQ74" s="92"/>
      <c r="AR74" s="92"/>
      <c r="AS74" s="92"/>
      <c r="AT74" s="92"/>
      <c r="AU74" s="92"/>
    </row>
    <row r="75" spans="1:47" ht="13.5" customHeight="1" x14ac:dyDescent="0.2">
      <c r="A75" s="131" t="s">
        <v>96</v>
      </c>
      <c r="B75" s="1237" t="s">
        <v>257</v>
      </c>
      <c r="C75" s="1264">
        <v>173.38</v>
      </c>
      <c r="D75" s="1303" t="s">
        <v>933</v>
      </c>
      <c r="E75" s="1304"/>
      <c r="F75" s="1304"/>
      <c r="G75" s="1304"/>
      <c r="H75" s="1176"/>
      <c r="I75" s="1305"/>
      <c r="J75" s="1305"/>
      <c r="K75" s="1305"/>
      <c r="L75" s="1305"/>
      <c r="M75" s="1305"/>
      <c r="N75" s="92"/>
      <c r="O75" s="92"/>
      <c r="P75" s="92"/>
      <c r="Q75" s="193"/>
      <c r="R75" s="193"/>
      <c r="S75" s="193"/>
      <c r="T75" s="193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</row>
    <row r="76" spans="1:47" ht="14.25" x14ac:dyDescent="0.2">
      <c r="A76" s="131" t="s">
        <v>96</v>
      </c>
      <c r="B76" s="1237" t="s">
        <v>259</v>
      </c>
      <c r="C76" s="1264">
        <v>133</v>
      </c>
      <c r="D76" s="1306"/>
      <c r="E76" s="1307"/>
      <c r="F76" s="1307"/>
      <c r="G76" s="1308"/>
      <c r="H76" s="1239"/>
      <c r="I76" s="1239"/>
      <c r="J76" s="1239"/>
      <c r="K76" s="1239"/>
      <c r="L76" s="1239"/>
      <c r="M76" s="1239"/>
      <c r="N76" s="193"/>
      <c r="O76" s="193"/>
      <c r="P76" s="193"/>
      <c r="Q76" s="193"/>
      <c r="R76" s="193"/>
      <c r="S76" s="193"/>
      <c r="T76" s="193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</row>
    <row r="77" spans="1:47" ht="14.25" x14ac:dyDescent="0.2">
      <c r="A77" s="131" t="s">
        <v>96</v>
      </c>
      <c r="B77" s="1242" t="s">
        <v>281</v>
      </c>
      <c r="C77" s="1264">
        <v>120</v>
      </c>
      <c r="D77" s="1306"/>
      <c r="E77" s="1307"/>
      <c r="F77" s="1307"/>
      <c r="G77" s="1308"/>
      <c r="H77" s="1239"/>
      <c r="I77" s="1239"/>
      <c r="J77" s="1239"/>
      <c r="K77" s="1239"/>
      <c r="L77" s="1239"/>
      <c r="M77" s="1239"/>
      <c r="N77" s="193"/>
      <c r="O77" s="193"/>
      <c r="P77" s="193"/>
      <c r="Q77" s="193"/>
      <c r="R77" s="193"/>
      <c r="S77" s="193"/>
      <c r="T77" s="193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</row>
    <row r="78" spans="1:47" ht="14.25" x14ac:dyDescent="0.2">
      <c r="A78" s="131" t="s">
        <v>96</v>
      </c>
      <c r="B78" s="1237" t="s">
        <v>261</v>
      </c>
      <c r="C78" s="1264">
        <v>120</v>
      </c>
      <c r="D78" s="1306"/>
      <c r="E78" s="1307"/>
      <c r="F78" s="1307"/>
      <c r="G78" s="1308"/>
      <c r="H78" s="1239"/>
      <c r="I78" s="1239"/>
      <c r="J78" s="1239"/>
      <c r="K78" s="1239"/>
      <c r="L78" s="1239"/>
      <c r="M78" s="1239"/>
      <c r="N78" s="193"/>
      <c r="O78" s="193"/>
      <c r="P78" s="193"/>
      <c r="Q78" s="193"/>
      <c r="R78" s="193"/>
      <c r="S78" s="193"/>
      <c r="T78" s="193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</row>
    <row r="79" spans="1:47" s="130" customFormat="1" ht="14.25" customHeight="1" x14ac:dyDescent="0.2">
      <c r="A79" s="131" t="s">
        <v>96</v>
      </c>
      <c r="B79" s="1237" t="s">
        <v>901</v>
      </c>
      <c r="C79" s="1264">
        <v>32</v>
      </c>
      <c r="D79" s="1309" t="s">
        <v>930</v>
      </c>
      <c r="E79" s="1310"/>
      <c r="F79" s="1310"/>
      <c r="G79" s="1311"/>
      <c r="H79" s="1312"/>
      <c r="I79" s="1312"/>
      <c r="J79" s="1312"/>
      <c r="K79" s="1312"/>
      <c r="L79" s="1312"/>
      <c r="M79" s="1312"/>
      <c r="N79" s="207"/>
      <c r="O79" s="207"/>
      <c r="P79" s="207"/>
      <c r="Q79" s="207"/>
      <c r="R79" s="207"/>
      <c r="S79" s="207"/>
      <c r="T79" s="208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89"/>
      <c r="AK79" s="189"/>
      <c r="AL79" s="189"/>
      <c r="AM79" s="189"/>
      <c r="AN79" s="92"/>
      <c r="AO79" s="92"/>
      <c r="AP79" s="92"/>
      <c r="AQ79" s="92"/>
      <c r="AR79" s="92"/>
      <c r="AS79" s="92"/>
      <c r="AT79" s="92"/>
      <c r="AU79" s="92"/>
    </row>
    <row r="80" spans="1:47" s="130" customFormat="1" ht="12" customHeight="1" x14ac:dyDescent="0.2">
      <c r="A80" s="131" t="s">
        <v>96</v>
      </c>
      <c r="B80" s="1242" t="s">
        <v>902</v>
      </c>
      <c r="C80" s="1313">
        <v>0.73</v>
      </c>
      <c r="D80" s="1309" t="s">
        <v>931</v>
      </c>
      <c r="E80" s="1310"/>
      <c r="F80" s="1314"/>
      <c r="G80" s="1315"/>
      <c r="H80" s="1312"/>
      <c r="I80" s="1312"/>
      <c r="J80" s="1312"/>
      <c r="K80" s="1312"/>
      <c r="L80" s="1312"/>
      <c r="M80" s="1312"/>
      <c r="N80" s="207"/>
      <c r="O80" s="207"/>
      <c r="P80" s="207"/>
      <c r="Q80" s="207"/>
      <c r="R80" s="207"/>
      <c r="S80" s="207"/>
      <c r="T80" s="208"/>
      <c r="U80" s="192"/>
      <c r="V80" s="192"/>
      <c r="W80" s="192"/>
      <c r="X80" s="192"/>
      <c r="Y80" s="192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89"/>
      <c r="AK80" s="189"/>
      <c r="AL80" s="189"/>
      <c r="AM80" s="189"/>
      <c r="AN80" s="92"/>
      <c r="AO80" s="92"/>
      <c r="AP80" s="92"/>
      <c r="AQ80" s="92"/>
      <c r="AR80" s="92"/>
      <c r="AS80" s="92"/>
      <c r="AT80" s="92"/>
      <c r="AU80" s="92"/>
    </row>
    <row r="81" spans="1:47" s="130" customFormat="1" ht="14.25" x14ac:dyDescent="0.2">
      <c r="B81" s="1316"/>
      <c r="C81" s="1244"/>
      <c r="D81" s="1312"/>
      <c r="E81" s="1312"/>
      <c r="F81" s="1312"/>
      <c r="G81" s="1312"/>
      <c r="H81" s="1312"/>
      <c r="I81" s="1312"/>
      <c r="J81" s="1312"/>
      <c r="K81" s="1312"/>
      <c r="L81" s="1312"/>
      <c r="M81" s="1312"/>
      <c r="N81" s="207"/>
      <c r="O81" s="207"/>
      <c r="P81" s="207"/>
      <c r="Q81" s="207"/>
      <c r="R81" s="207"/>
      <c r="S81" s="207"/>
      <c r="T81" s="208"/>
      <c r="U81" s="192"/>
      <c r="V81" s="192"/>
      <c r="W81" s="192"/>
      <c r="X81" s="192"/>
      <c r="Y81" s="192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89"/>
      <c r="AK81" s="189"/>
      <c r="AL81" s="189"/>
      <c r="AM81" s="189"/>
      <c r="AN81" s="92"/>
      <c r="AO81" s="92"/>
      <c r="AP81" s="92"/>
      <c r="AQ81" s="92"/>
      <c r="AR81" s="92"/>
      <c r="AS81" s="92"/>
      <c r="AT81" s="92"/>
      <c r="AU81" s="92"/>
    </row>
    <row r="82" spans="1:47" s="127" customFormat="1" ht="15" x14ac:dyDescent="0.2">
      <c r="A82" s="126">
        <v>6</v>
      </c>
      <c r="B82" s="1295" t="s">
        <v>270</v>
      </c>
      <c r="C82" s="1296"/>
      <c r="D82" s="1297"/>
      <c r="E82" s="1297"/>
      <c r="F82" s="1297"/>
      <c r="G82" s="1297"/>
      <c r="H82" s="1297"/>
      <c r="I82" s="1297"/>
      <c r="J82" s="1297"/>
      <c r="K82" s="1297"/>
      <c r="L82" s="1297"/>
      <c r="M82" s="1297"/>
      <c r="N82" s="581"/>
      <c r="O82" s="581"/>
      <c r="P82" s="581"/>
      <c r="Q82" s="581"/>
      <c r="R82" s="581"/>
      <c r="S82" s="581"/>
      <c r="T82" s="581"/>
      <c r="U82" s="581"/>
      <c r="V82" s="581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92"/>
      <c r="AO82" s="92"/>
      <c r="AP82" s="92"/>
      <c r="AQ82" s="92"/>
      <c r="AR82" s="92"/>
      <c r="AS82" s="92"/>
      <c r="AT82" s="92"/>
      <c r="AU82" s="92"/>
    </row>
    <row r="83" spans="1:47" s="130" customFormat="1" ht="15" x14ac:dyDescent="0.25">
      <c r="A83" s="128"/>
      <c r="B83" s="1233" t="s">
        <v>263</v>
      </c>
      <c r="C83" s="1234" t="s">
        <v>253</v>
      </c>
      <c r="D83" s="1235"/>
      <c r="E83" s="1235"/>
      <c r="F83" s="1235"/>
      <c r="G83" s="1235"/>
      <c r="H83" s="1235"/>
      <c r="I83" s="1235"/>
      <c r="J83" s="1235"/>
      <c r="K83" s="1235"/>
      <c r="L83" s="1235"/>
      <c r="M83" s="1235"/>
      <c r="N83" s="190"/>
      <c r="O83" s="190"/>
      <c r="P83" s="190"/>
      <c r="Q83" s="190"/>
      <c r="R83" s="190"/>
      <c r="S83" s="190"/>
      <c r="T83" s="190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89"/>
      <c r="AK83" s="189"/>
      <c r="AL83" s="189"/>
      <c r="AM83" s="189"/>
      <c r="AN83" s="92"/>
      <c r="AO83" s="92"/>
      <c r="AP83" s="92"/>
      <c r="AQ83" s="92"/>
      <c r="AR83" s="92"/>
      <c r="AS83" s="92"/>
      <c r="AT83" s="92"/>
      <c r="AU83" s="92"/>
    </row>
    <row r="84" spans="1:47" ht="14.25" x14ac:dyDescent="0.2">
      <c r="A84" s="131" t="s">
        <v>100</v>
      </c>
      <c r="B84" s="1237" t="s">
        <v>257</v>
      </c>
      <c r="C84" s="1317">
        <v>26</v>
      </c>
      <c r="D84" s="1239"/>
      <c r="E84" s="1239"/>
      <c r="F84" s="1239"/>
      <c r="G84" s="1239"/>
      <c r="H84" s="1239"/>
      <c r="I84" s="1239"/>
      <c r="J84" s="1239"/>
      <c r="K84" s="1239"/>
      <c r="L84" s="1239"/>
      <c r="M84" s="1239"/>
      <c r="N84" s="193"/>
      <c r="O84" s="193"/>
      <c r="P84" s="193"/>
      <c r="Q84" s="193"/>
      <c r="R84" s="193"/>
      <c r="S84" s="193"/>
      <c r="T84" s="193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</row>
    <row r="85" spans="1:47" ht="14.25" x14ac:dyDescent="0.2">
      <c r="A85" s="131" t="s">
        <v>100</v>
      </c>
      <c r="B85" s="1237" t="s">
        <v>259</v>
      </c>
      <c r="C85" s="1317">
        <v>26</v>
      </c>
      <c r="D85" s="1239"/>
      <c r="E85" s="1239"/>
      <c r="F85" s="1239"/>
      <c r="G85" s="1239"/>
      <c r="H85" s="1239"/>
      <c r="I85" s="1239"/>
      <c r="J85" s="1239"/>
      <c r="K85" s="1239"/>
      <c r="L85" s="1239"/>
      <c r="M85" s="1239"/>
      <c r="N85" s="193"/>
      <c r="O85" s="193"/>
      <c r="P85" s="193"/>
      <c r="Q85" s="193"/>
      <c r="R85" s="193"/>
      <c r="S85" s="193"/>
      <c r="T85" s="193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</row>
    <row r="86" spans="1:47" ht="14.25" x14ac:dyDescent="0.2">
      <c r="A86" s="131" t="s">
        <v>100</v>
      </c>
      <c r="B86" s="1242" t="s">
        <v>277</v>
      </c>
      <c r="C86" s="1317">
        <v>26</v>
      </c>
      <c r="D86" s="1239"/>
      <c r="E86" s="1239"/>
      <c r="F86" s="1239"/>
      <c r="G86" s="1239"/>
      <c r="H86" s="1239"/>
      <c r="I86" s="1239"/>
      <c r="J86" s="1239"/>
      <c r="K86" s="1239"/>
      <c r="L86" s="1239"/>
      <c r="M86" s="1239"/>
      <c r="N86" s="193"/>
      <c r="O86" s="193"/>
      <c r="P86" s="193"/>
      <c r="Q86" s="193"/>
      <c r="R86" s="193"/>
      <c r="S86" s="193"/>
      <c r="T86" s="193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</row>
    <row r="87" spans="1:47" ht="14.25" x14ac:dyDescent="0.2">
      <c r="A87" s="131" t="s">
        <v>100</v>
      </c>
      <c r="B87" s="1237" t="s">
        <v>261</v>
      </c>
      <c r="C87" s="1317">
        <v>26</v>
      </c>
      <c r="D87" s="1239"/>
      <c r="E87" s="1239"/>
      <c r="F87" s="1239"/>
      <c r="G87" s="1239"/>
      <c r="H87" s="1239"/>
      <c r="I87" s="1239"/>
      <c r="J87" s="1239"/>
      <c r="K87" s="1239"/>
      <c r="L87" s="1239"/>
      <c r="M87" s="1239"/>
      <c r="N87" s="193"/>
      <c r="O87" s="193"/>
      <c r="P87" s="193"/>
      <c r="Q87" s="193"/>
      <c r="R87" s="193"/>
      <c r="S87" s="193"/>
      <c r="T87" s="193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</row>
    <row r="88" spans="1:47" s="130" customFormat="1" ht="14.25" x14ac:dyDescent="0.2">
      <c r="A88" s="131" t="s">
        <v>100</v>
      </c>
      <c r="B88" s="1237" t="s">
        <v>901</v>
      </c>
      <c r="C88" s="1317">
        <v>4</v>
      </c>
      <c r="D88" s="1312"/>
      <c r="E88" s="1312"/>
      <c r="F88" s="1312"/>
      <c r="G88" s="1312"/>
      <c r="H88" s="1312"/>
      <c r="I88" s="1312"/>
      <c r="J88" s="1312"/>
      <c r="K88" s="1312"/>
      <c r="L88" s="1312"/>
      <c r="M88" s="1312"/>
      <c r="N88" s="207"/>
      <c r="O88" s="207"/>
      <c r="P88" s="207"/>
      <c r="Q88" s="207"/>
      <c r="R88" s="207"/>
      <c r="S88" s="207"/>
      <c r="T88" s="208"/>
      <c r="U88" s="192"/>
      <c r="V88" s="192"/>
      <c r="W88" s="192"/>
      <c r="X88" s="192"/>
      <c r="Y88" s="192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89"/>
      <c r="AK88" s="189"/>
      <c r="AL88" s="189"/>
      <c r="AM88" s="189"/>
      <c r="AN88" s="92"/>
      <c r="AO88" s="92"/>
      <c r="AP88" s="92"/>
      <c r="AQ88" s="92"/>
      <c r="AR88" s="92"/>
      <c r="AS88" s="92"/>
      <c r="AT88" s="92"/>
      <c r="AU88" s="92"/>
    </row>
    <row r="89" spans="1:47" s="130" customFormat="1" ht="12" customHeight="1" x14ac:dyDescent="0.2">
      <c r="A89" s="131" t="s">
        <v>100</v>
      </c>
      <c r="B89" s="1242" t="s">
        <v>902</v>
      </c>
      <c r="C89" s="1317">
        <v>7.0000000000000007E-2</v>
      </c>
      <c r="D89" s="1312"/>
      <c r="E89" s="1312"/>
      <c r="F89" s="1312"/>
      <c r="G89" s="1312"/>
      <c r="H89" s="1312"/>
      <c r="I89" s="1312"/>
      <c r="J89" s="1312"/>
      <c r="K89" s="1312"/>
      <c r="L89" s="1312"/>
      <c r="M89" s="1312"/>
      <c r="N89" s="207"/>
      <c r="O89" s="207"/>
      <c r="P89" s="207"/>
      <c r="Q89" s="207"/>
      <c r="R89" s="207"/>
      <c r="S89" s="207"/>
      <c r="T89" s="208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89"/>
      <c r="AK89" s="189"/>
      <c r="AL89" s="189"/>
      <c r="AM89" s="189"/>
      <c r="AN89" s="92"/>
      <c r="AO89" s="92"/>
      <c r="AP89" s="92"/>
      <c r="AQ89" s="92"/>
      <c r="AR89" s="92"/>
      <c r="AS89" s="92"/>
      <c r="AT89" s="92"/>
      <c r="AU89" s="92"/>
    </row>
    <row r="90" spans="1:47" s="130" customFormat="1" ht="14.25" x14ac:dyDescent="0.2">
      <c r="B90" s="1316"/>
      <c r="C90" s="1244"/>
      <c r="D90" s="1312"/>
      <c r="E90" s="1312"/>
      <c r="F90" s="1312"/>
      <c r="G90" s="1312"/>
      <c r="H90" s="1312"/>
      <c r="I90" s="1312"/>
      <c r="J90" s="1312"/>
      <c r="K90" s="1312"/>
      <c r="L90" s="1312"/>
      <c r="M90" s="1312"/>
      <c r="N90" s="207"/>
      <c r="O90" s="207"/>
      <c r="P90" s="207"/>
      <c r="Q90" s="207"/>
      <c r="R90" s="207"/>
      <c r="S90" s="207"/>
      <c r="T90" s="208"/>
      <c r="U90" s="192"/>
      <c r="V90" s="192"/>
      <c r="W90" s="192"/>
      <c r="X90" s="192"/>
      <c r="Y90" s="192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89"/>
      <c r="AK90" s="189"/>
      <c r="AL90" s="189"/>
      <c r="AM90" s="189"/>
      <c r="AN90" s="92"/>
      <c r="AO90" s="92"/>
      <c r="AP90" s="92"/>
      <c r="AQ90" s="92"/>
      <c r="AR90" s="92"/>
      <c r="AS90" s="92"/>
      <c r="AT90" s="92"/>
      <c r="AU90" s="92"/>
    </row>
    <row r="91" spans="1:47" s="127" customFormat="1" ht="15" x14ac:dyDescent="0.2">
      <c r="A91" s="126">
        <v>7</v>
      </c>
      <c r="B91" s="1295" t="s">
        <v>269</v>
      </c>
      <c r="C91" s="1296"/>
      <c r="D91" s="1297"/>
      <c r="E91" s="1297"/>
      <c r="F91" s="1297"/>
      <c r="G91" s="1297"/>
      <c r="H91" s="1297"/>
      <c r="I91" s="1297"/>
      <c r="J91" s="1297"/>
      <c r="K91" s="1297"/>
      <c r="L91" s="1297"/>
      <c r="M91" s="1297"/>
      <c r="N91" s="581"/>
      <c r="O91" s="581"/>
      <c r="P91" s="581"/>
      <c r="Q91" s="581"/>
      <c r="R91" s="581"/>
      <c r="S91" s="581"/>
      <c r="T91" s="581"/>
      <c r="U91" s="581"/>
      <c r="V91" s="581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92"/>
      <c r="AO91" s="92"/>
      <c r="AP91" s="92"/>
      <c r="AQ91" s="92"/>
      <c r="AR91" s="92"/>
      <c r="AS91" s="92"/>
      <c r="AT91" s="92"/>
      <c r="AU91" s="92"/>
    </row>
    <row r="92" spans="1:47" s="130" customFormat="1" ht="15" x14ac:dyDescent="0.25">
      <c r="A92" s="128"/>
      <c r="B92" s="1233" t="s">
        <v>263</v>
      </c>
      <c r="C92" s="1234" t="s">
        <v>256</v>
      </c>
      <c r="D92" s="1285"/>
      <c r="E92" s="1285"/>
      <c r="F92" s="1285"/>
      <c r="G92" s="1285"/>
      <c r="H92" s="1285"/>
      <c r="I92" s="1285"/>
      <c r="J92" s="1285"/>
      <c r="K92" s="1285"/>
      <c r="L92" s="1285"/>
      <c r="M92" s="1285"/>
      <c r="N92" s="198"/>
      <c r="O92" s="198"/>
      <c r="P92" s="198"/>
      <c r="Q92" s="198"/>
      <c r="R92" s="198"/>
      <c r="S92" s="198"/>
      <c r="T92" s="203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92"/>
      <c r="AO92" s="92"/>
      <c r="AP92" s="92"/>
      <c r="AQ92" s="92"/>
      <c r="AR92" s="92"/>
      <c r="AS92" s="92"/>
      <c r="AT92" s="92"/>
      <c r="AU92" s="92"/>
    </row>
    <row r="93" spans="1:47" s="130" customFormat="1" ht="14.25" x14ac:dyDescent="0.2">
      <c r="A93" s="131" t="s">
        <v>103</v>
      </c>
      <c r="B93" s="1237" t="s">
        <v>257</v>
      </c>
      <c r="C93" s="1317">
        <f>C84*2</f>
        <v>52</v>
      </c>
      <c r="D93" s="1285"/>
      <c r="E93" s="1285"/>
      <c r="F93" s="1285"/>
      <c r="G93" s="1285"/>
      <c r="H93" s="1285"/>
      <c r="I93" s="1285"/>
      <c r="J93" s="1285"/>
      <c r="K93" s="1285"/>
      <c r="L93" s="1285"/>
      <c r="M93" s="1285"/>
      <c r="N93" s="198"/>
      <c r="O93" s="198"/>
      <c r="P93" s="198"/>
      <c r="Q93" s="198"/>
      <c r="R93" s="198"/>
      <c r="S93" s="198"/>
      <c r="T93" s="203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92"/>
      <c r="AO93" s="92"/>
      <c r="AP93" s="92"/>
      <c r="AQ93" s="92"/>
      <c r="AR93" s="92"/>
      <c r="AS93" s="92"/>
      <c r="AT93" s="92"/>
      <c r="AU93" s="92"/>
    </row>
    <row r="94" spans="1:47" s="130" customFormat="1" ht="14.25" x14ac:dyDescent="0.2">
      <c r="A94" s="131" t="s">
        <v>103</v>
      </c>
      <c r="B94" s="1237" t="s">
        <v>259</v>
      </c>
      <c r="C94" s="1317">
        <f>C85*2</f>
        <v>52</v>
      </c>
      <c r="D94" s="1285"/>
      <c r="E94" s="1285"/>
      <c r="F94" s="1285"/>
      <c r="G94" s="1285"/>
      <c r="H94" s="1285"/>
      <c r="I94" s="1285"/>
      <c r="J94" s="1285"/>
      <c r="K94" s="1285"/>
      <c r="L94" s="1285"/>
      <c r="M94" s="1285"/>
      <c r="N94" s="198"/>
      <c r="O94" s="198"/>
      <c r="P94" s="198"/>
      <c r="Q94" s="198"/>
      <c r="R94" s="198"/>
      <c r="S94" s="198"/>
      <c r="T94" s="203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92"/>
      <c r="AO94" s="92"/>
      <c r="AP94" s="92"/>
      <c r="AQ94" s="92"/>
      <c r="AR94" s="92"/>
      <c r="AS94" s="92"/>
      <c r="AT94" s="92"/>
      <c r="AU94" s="92"/>
    </row>
    <row r="95" spans="1:47" s="130" customFormat="1" ht="14.25" x14ac:dyDescent="0.2">
      <c r="A95" s="131" t="s">
        <v>103</v>
      </c>
      <c r="B95" s="1242" t="s">
        <v>281</v>
      </c>
      <c r="C95" s="1317">
        <f>C86*2</f>
        <v>52</v>
      </c>
      <c r="D95" s="1285"/>
      <c r="E95" s="1285"/>
      <c r="F95" s="1285"/>
      <c r="G95" s="1285"/>
      <c r="H95" s="1285"/>
      <c r="I95" s="1285"/>
      <c r="J95" s="1285"/>
      <c r="K95" s="1285"/>
      <c r="L95" s="1285"/>
      <c r="M95" s="1285"/>
      <c r="N95" s="198"/>
      <c r="O95" s="198"/>
      <c r="P95" s="198"/>
      <c r="Q95" s="198"/>
      <c r="R95" s="198"/>
      <c r="S95" s="198"/>
      <c r="T95" s="203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92"/>
      <c r="AO95" s="92"/>
      <c r="AP95" s="92"/>
      <c r="AQ95" s="92"/>
      <c r="AR95" s="92"/>
      <c r="AS95" s="92"/>
      <c r="AT95" s="92"/>
      <c r="AU95" s="92"/>
    </row>
    <row r="96" spans="1:47" s="130" customFormat="1" ht="14.25" x14ac:dyDescent="0.2">
      <c r="A96" s="131" t="s">
        <v>103</v>
      </c>
      <c r="B96" s="1237" t="s">
        <v>261</v>
      </c>
      <c r="C96" s="1317">
        <f>C87*2</f>
        <v>52</v>
      </c>
      <c r="D96" s="1285"/>
      <c r="E96" s="1285"/>
      <c r="F96" s="1285"/>
      <c r="G96" s="1285"/>
      <c r="H96" s="1285"/>
      <c r="I96" s="1285"/>
      <c r="J96" s="1285"/>
      <c r="K96" s="1285"/>
      <c r="L96" s="1285"/>
      <c r="M96" s="1285"/>
      <c r="N96" s="198"/>
      <c r="O96" s="198"/>
      <c r="P96" s="198"/>
      <c r="Q96" s="198"/>
      <c r="R96" s="198"/>
      <c r="S96" s="198"/>
      <c r="T96" s="203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92"/>
      <c r="AO96" s="92"/>
      <c r="AP96" s="92"/>
      <c r="AQ96" s="92"/>
      <c r="AR96" s="92"/>
      <c r="AS96" s="92"/>
      <c r="AT96" s="92"/>
      <c r="AU96" s="92"/>
    </row>
    <row r="97" spans="1:47" s="130" customFormat="1" ht="14.25" x14ac:dyDescent="0.2">
      <c r="A97" s="131"/>
      <c r="B97" s="1237" t="s">
        <v>901</v>
      </c>
      <c r="C97" s="1317"/>
      <c r="D97" s="1285"/>
      <c r="E97" s="1285"/>
      <c r="F97" s="1285"/>
      <c r="G97" s="1285"/>
      <c r="H97" s="1285"/>
      <c r="I97" s="1285"/>
      <c r="J97" s="1285"/>
      <c r="K97" s="1285"/>
      <c r="L97" s="1285"/>
      <c r="M97" s="1285"/>
      <c r="N97" s="198"/>
      <c r="O97" s="198"/>
      <c r="P97" s="198"/>
      <c r="Q97" s="198"/>
      <c r="R97" s="198"/>
      <c r="S97" s="198"/>
      <c r="T97" s="203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92"/>
      <c r="AO97" s="92"/>
      <c r="AP97" s="92"/>
      <c r="AQ97" s="92"/>
      <c r="AR97" s="92"/>
      <c r="AS97" s="92"/>
      <c r="AT97" s="92"/>
      <c r="AU97" s="92"/>
    </row>
    <row r="98" spans="1:47" s="130" customFormat="1" ht="12.75" customHeight="1" x14ac:dyDescent="0.2">
      <c r="A98" s="131" t="s">
        <v>103</v>
      </c>
      <c r="B98" s="1242" t="s">
        <v>902</v>
      </c>
      <c r="C98" s="1317">
        <v>52</v>
      </c>
      <c r="D98" s="1285"/>
      <c r="E98" s="1285"/>
      <c r="F98" s="1285"/>
      <c r="G98" s="1285"/>
      <c r="H98" s="1285"/>
      <c r="I98" s="1285"/>
      <c r="J98" s="1285"/>
      <c r="K98" s="1285"/>
      <c r="L98" s="1285"/>
      <c r="M98" s="1285"/>
      <c r="N98" s="198"/>
      <c r="O98" s="198"/>
      <c r="P98" s="198"/>
      <c r="Q98" s="198"/>
      <c r="R98" s="198"/>
      <c r="S98" s="198"/>
      <c r="T98" s="203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92"/>
      <c r="AO98" s="92"/>
      <c r="AP98" s="92"/>
      <c r="AQ98" s="92"/>
      <c r="AR98" s="92"/>
      <c r="AS98" s="92"/>
      <c r="AT98" s="92"/>
      <c r="AU98" s="92"/>
    </row>
    <row r="99" spans="1:47" s="130" customFormat="1" ht="14.25" x14ac:dyDescent="0.2">
      <c r="B99" s="1316"/>
      <c r="C99" s="1244"/>
      <c r="D99" s="1285"/>
      <c r="E99" s="1285"/>
      <c r="F99" s="1285"/>
      <c r="G99" s="1285"/>
      <c r="H99" s="1285"/>
      <c r="I99" s="1285"/>
      <c r="J99" s="1285"/>
      <c r="K99" s="1285"/>
      <c r="L99" s="1285"/>
      <c r="M99" s="1285"/>
      <c r="N99" s="198"/>
      <c r="O99" s="198"/>
      <c r="P99" s="198"/>
      <c r="Q99" s="198"/>
      <c r="R99" s="198"/>
      <c r="S99" s="198"/>
      <c r="T99" s="203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92"/>
      <c r="AO99" s="92"/>
      <c r="AP99" s="92"/>
      <c r="AQ99" s="92"/>
      <c r="AR99" s="92"/>
      <c r="AS99" s="92"/>
      <c r="AT99" s="92"/>
      <c r="AU99" s="92"/>
    </row>
    <row r="100" spans="1:47" s="127" customFormat="1" ht="15" x14ac:dyDescent="0.2">
      <c r="A100" s="126">
        <v>8</v>
      </c>
      <c r="B100" s="1295" t="s">
        <v>280</v>
      </c>
      <c r="C100" s="1296"/>
      <c r="D100" s="1297"/>
      <c r="E100" s="1297"/>
      <c r="F100" s="1297"/>
      <c r="G100" s="1297"/>
      <c r="H100" s="1297"/>
      <c r="I100" s="1297"/>
      <c r="J100" s="1297"/>
      <c r="K100" s="1297"/>
      <c r="L100" s="1297"/>
      <c r="M100" s="1297"/>
      <c r="N100" s="581"/>
      <c r="O100" s="581"/>
      <c r="P100" s="581"/>
      <c r="Q100" s="581"/>
      <c r="R100" s="581"/>
      <c r="S100" s="581"/>
      <c r="T100" s="581"/>
      <c r="U100" s="581"/>
      <c r="V100" s="581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92"/>
      <c r="AO100" s="92"/>
      <c r="AP100" s="92"/>
      <c r="AQ100" s="92"/>
      <c r="AR100" s="92"/>
      <c r="AS100" s="92"/>
      <c r="AT100" s="92"/>
      <c r="AU100" s="92"/>
    </row>
    <row r="101" spans="1:47" s="130" customFormat="1" ht="15" x14ac:dyDescent="0.25">
      <c r="A101" s="128"/>
      <c r="B101" s="1233" t="s">
        <v>263</v>
      </c>
      <c r="C101" s="1234" t="s">
        <v>274</v>
      </c>
      <c r="D101" s="1285"/>
      <c r="E101" s="1285"/>
      <c r="F101" s="1285"/>
      <c r="G101" s="1285"/>
      <c r="H101" s="1285"/>
      <c r="I101" s="1285"/>
      <c r="J101" s="1285"/>
      <c r="K101" s="1285"/>
      <c r="L101" s="1285"/>
      <c r="M101" s="1285"/>
      <c r="N101" s="198"/>
      <c r="O101" s="198"/>
      <c r="P101" s="198"/>
      <c r="Q101" s="198"/>
      <c r="R101" s="198"/>
      <c r="S101" s="198"/>
      <c r="T101" s="203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92"/>
      <c r="AO101" s="92"/>
      <c r="AP101" s="92"/>
      <c r="AQ101" s="92"/>
      <c r="AR101" s="92"/>
      <c r="AS101" s="92"/>
      <c r="AT101" s="92"/>
      <c r="AU101" s="92"/>
    </row>
    <row r="102" spans="1:47" s="130" customFormat="1" ht="14.25" x14ac:dyDescent="0.2">
      <c r="A102" s="131" t="s">
        <v>104</v>
      </c>
      <c r="B102" s="1237" t="s">
        <v>257</v>
      </c>
      <c r="C102" s="1317">
        <f>1*C84</f>
        <v>26</v>
      </c>
      <c r="D102" s="1285"/>
      <c r="E102" s="1285"/>
      <c r="F102" s="1285"/>
      <c r="G102" s="1285"/>
      <c r="H102" s="1285"/>
      <c r="I102" s="1285"/>
      <c r="J102" s="1285"/>
      <c r="K102" s="1285"/>
      <c r="L102" s="1285"/>
      <c r="M102" s="1285"/>
      <c r="N102" s="198"/>
      <c r="O102" s="198"/>
      <c r="P102" s="198"/>
      <c r="Q102" s="198"/>
      <c r="R102" s="198"/>
      <c r="S102" s="198"/>
      <c r="T102" s="203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92"/>
      <c r="AO102" s="92"/>
      <c r="AP102" s="92"/>
      <c r="AQ102" s="92"/>
      <c r="AR102" s="92"/>
      <c r="AS102" s="92"/>
      <c r="AT102" s="92"/>
      <c r="AU102" s="92"/>
    </row>
    <row r="103" spans="1:47" s="130" customFormat="1" ht="14.25" x14ac:dyDescent="0.2">
      <c r="A103" s="131" t="s">
        <v>104</v>
      </c>
      <c r="B103" s="1237" t="s">
        <v>259</v>
      </c>
      <c r="C103" s="1317">
        <f>1*C85</f>
        <v>26</v>
      </c>
      <c r="D103" s="1285"/>
      <c r="E103" s="1285"/>
      <c r="F103" s="1285"/>
      <c r="G103" s="1285"/>
      <c r="H103" s="1285"/>
      <c r="I103" s="1285"/>
      <c r="J103" s="1285"/>
      <c r="K103" s="1285"/>
      <c r="L103" s="1285"/>
      <c r="M103" s="1285"/>
      <c r="N103" s="198"/>
      <c r="O103" s="198"/>
      <c r="P103" s="198"/>
      <c r="Q103" s="198"/>
      <c r="R103" s="198"/>
      <c r="S103" s="198"/>
      <c r="T103" s="203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92"/>
      <c r="AO103" s="92"/>
      <c r="AP103" s="92"/>
      <c r="AQ103" s="92"/>
      <c r="AR103" s="92"/>
      <c r="AS103" s="92"/>
      <c r="AT103" s="92"/>
      <c r="AU103" s="92"/>
    </row>
    <row r="104" spans="1:47" s="130" customFormat="1" ht="14.25" x14ac:dyDescent="0.2">
      <c r="A104" s="131" t="s">
        <v>104</v>
      </c>
      <c r="B104" s="1242" t="s">
        <v>281</v>
      </c>
      <c r="C104" s="1317">
        <f>1*C86</f>
        <v>26</v>
      </c>
      <c r="D104" s="1285"/>
      <c r="E104" s="1285"/>
      <c r="F104" s="1285"/>
      <c r="G104" s="1285"/>
      <c r="H104" s="1285"/>
      <c r="I104" s="1285"/>
      <c r="J104" s="1285"/>
      <c r="K104" s="1285"/>
      <c r="L104" s="1285"/>
      <c r="M104" s="1285"/>
      <c r="N104" s="198"/>
      <c r="O104" s="198"/>
      <c r="P104" s="198"/>
      <c r="Q104" s="198"/>
      <c r="R104" s="198"/>
      <c r="S104" s="198"/>
      <c r="T104" s="203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92"/>
      <c r="AO104" s="92"/>
      <c r="AP104" s="92"/>
      <c r="AQ104" s="92"/>
      <c r="AR104" s="92"/>
      <c r="AS104" s="92"/>
      <c r="AT104" s="92"/>
      <c r="AU104" s="92"/>
    </row>
    <row r="105" spans="1:47" s="130" customFormat="1" ht="14.25" x14ac:dyDescent="0.2">
      <c r="A105" s="131" t="s">
        <v>104</v>
      </c>
      <c r="B105" s="1237" t="s">
        <v>261</v>
      </c>
      <c r="C105" s="1317">
        <f>1*C87</f>
        <v>26</v>
      </c>
      <c r="D105" s="1285"/>
      <c r="E105" s="1285"/>
      <c r="F105" s="1285"/>
      <c r="G105" s="1285"/>
      <c r="H105" s="1285"/>
      <c r="I105" s="1285"/>
      <c r="J105" s="1285"/>
      <c r="K105" s="1285"/>
      <c r="L105" s="1285"/>
      <c r="M105" s="1285"/>
      <c r="N105" s="198"/>
      <c r="O105" s="198"/>
      <c r="P105" s="198"/>
      <c r="Q105" s="198"/>
      <c r="R105" s="198"/>
      <c r="S105" s="198"/>
      <c r="T105" s="203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92"/>
      <c r="AO105" s="92"/>
      <c r="AP105" s="92"/>
      <c r="AQ105" s="92"/>
      <c r="AR105" s="92"/>
      <c r="AS105" s="92"/>
      <c r="AT105" s="92"/>
      <c r="AU105" s="92"/>
    </row>
    <row r="106" spans="1:47" ht="14.25" x14ac:dyDescent="0.2">
      <c r="A106" s="131" t="s">
        <v>104</v>
      </c>
      <c r="B106" s="1237" t="s">
        <v>901</v>
      </c>
      <c r="C106" s="1317">
        <v>26</v>
      </c>
      <c r="D106" s="1318"/>
      <c r="E106" s="1318"/>
      <c r="F106" s="1318"/>
      <c r="G106" s="1318"/>
      <c r="H106" s="1318"/>
      <c r="I106" s="1318"/>
      <c r="J106" s="1318"/>
      <c r="K106" s="1318"/>
      <c r="L106" s="1318"/>
      <c r="M106" s="1318"/>
      <c r="N106" s="210"/>
      <c r="O106" s="193"/>
      <c r="P106" s="193"/>
      <c r="Q106" s="193"/>
      <c r="R106" s="193"/>
      <c r="S106" s="193"/>
      <c r="T106" s="193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</row>
    <row r="107" spans="1:47" ht="12.75" customHeight="1" x14ac:dyDescent="0.2">
      <c r="A107" s="131" t="s">
        <v>104</v>
      </c>
      <c r="B107" s="1242" t="s">
        <v>902</v>
      </c>
      <c r="C107" s="1317">
        <v>26</v>
      </c>
      <c r="D107" s="1318"/>
      <c r="E107" s="1318"/>
      <c r="F107" s="1318"/>
      <c r="G107" s="1318"/>
      <c r="H107" s="1318"/>
      <c r="I107" s="1318"/>
      <c r="J107" s="1318"/>
      <c r="K107" s="1318"/>
      <c r="L107" s="1318"/>
      <c r="M107" s="1318"/>
      <c r="N107" s="210"/>
      <c r="O107" s="193"/>
      <c r="P107" s="193"/>
      <c r="Q107" s="193"/>
      <c r="R107" s="193"/>
      <c r="S107" s="193"/>
      <c r="T107" s="193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</row>
    <row r="108" spans="1:47" ht="14.25" x14ac:dyDescent="0.2">
      <c r="B108" s="1319"/>
      <c r="C108" s="1294"/>
      <c r="D108" s="1318"/>
      <c r="E108" s="1318"/>
      <c r="F108" s="1318"/>
      <c r="G108" s="1318"/>
      <c r="H108" s="1318"/>
      <c r="I108" s="1318"/>
      <c r="J108" s="1318"/>
      <c r="K108" s="1318"/>
      <c r="L108" s="1318"/>
      <c r="M108" s="1318"/>
      <c r="N108" s="210"/>
      <c r="O108" s="193"/>
      <c r="P108" s="193"/>
      <c r="Q108" s="193"/>
      <c r="R108" s="193"/>
      <c r="S108" s="193"/>
      <c r="T108" s="193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</row>
    <row r="109" spans="1:47" s="127" customFormat="1" ht="15" x14ac:dyDescent="0.2">
      <c r="A109" s="126">
        <v>9</v>
      </c>
      <c r="B109" s="1295" t="s">
        <v>272</v>
      </c>
      <c r="C109" s="1296"/>
      <c r="D109" s="1297"/>
      <c r="E109" s="1297"/>
      <c r="F109" s="1297"/>
      <c r="G109" s="1297"/>
      <c r="H109" s="1297"/>
      <c r="I109" s="1297"/>
      <c r="J109" s="1297"/>
      <c r="K109" s="1297"/>
      <c r="L109" s="1297"/>
      <c r="M109" s="1297"/>
      <c r="N109" s="581"/>
      <c r="O109" s="581"/>
      <c r="P109" s="581"/>
      <c r="Q109" s="581"/>
      <c r="R109" s="581"/>
      <c r="S109" s="581"/>
      <c r="T109" s="581"/>
      <c r="U109" s="581"/>
      <c r="V109" s="581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92"/>
      <c r="AO109" s="92"/>
      <c r="AP109" s="92"/>
      <c r="AQ109" s="92"/>
      <c r="AR109" s="92"/>
      <c r="AS109" s="92"/>
      <c r="AT109" s="92"/>
      <c r="AU109" s="92"/>
    </row>
    <row r="110" spans="1:47" ht="15" x14ac:dyDescent="0.25">
      <c r="A110" s="128"/>
      <c r="B110" s="1233" t="s">
        <v>263</v>
      </c>
      <c r="C110" s="1234" t="s">
        <v>170</v>
      </c>
      <c r="D110" s="1318"/>
      <c r="E110" s="1318"/>
      <c r="F110" s="1318"/>
      <c r="G110" s="1318"/>
      <c r="H110" s="1318"/>
      <c r="I110" s="1318"/>
      <c r="J110" s="1318"/>
      <c r="K110" s="1318"/>
      <c r="L110" s="1318"/>
      <c r="M110" s="1318"/>
      <c r="N110" s="210"/>
      <c r="O110" s="193"/>
      <c r="P110" s="193"/>
      <c r="Q110" s="193"/>
      <c r="R110" s="193"/>
      <c r="S110" s="193"/>
      <c r="T110" s="193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</row>
    <row r="111" spans="1:47" ht="14.25" x14ac:dyDescent="0.2">
      <c r="A111" s="131" t="s">
        <v>273</v>
      </c>
      <c r="B111" s="1237" t="s">
        <v>257</v>
      </c>
      <c r="C111" s="1320">
        <f>$C$162</f>
        <v>0.71101040000000004</v>
      </c>
      <c r="D111" s="1318"/>
      <c r="E111" s="1318"/>
      <c r="F111" s="1318"/>
      <c r="G111" s="1318"/>
      <c r="H111" s="1318"/>
      <c r="I111" s="1318"/>
      <c r="J111" s="1318"/>
      <c r="K111" s="1318"/>
      <c r="L111" s="1318"/>
      <c r="M111" s="1318"/>
      <c r="N111" s="210"/>
      <c r="O111" s="193"/>
      <c r="P111" s="193"/>
      <c r="Q111" s="193"/>
      <c r="R111" s="193"/>
      <c r="S111" s="193"/>
      <c r="T111" s="193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</row>
    <row r="112" spans="1:47" ht="14.25" x14ac:dyDescent="0.2">
      <c r="A112" s="131" t="s">
        <v>273</v>
      </c>
      <c r="B112" s="1237" t="s">
        <v>259</v>
      </c>
      <c r="C112" s="1320">
        <f>$C$162</f>
        <v>0.71101040000000004</v>
      </c>
      <c r="D112" s="1318"/>
      <c r="E112" s="1318"/>
      <c r="F112" s="1318"/>
      <c r="G112" s="1318"/>
      <c r="H112" s="1318"/>
      <c r="I112" s="1318"/>
      <c r="J112" s="1318"/>
      <c r="K112" s="1318"/>
      <c r="L112" s="1318"/>
      <c r="M112" s="1318"/>
      <c r="N112" s="210"/>
      <c r="O112" s="193"/>
      <c r="P112" s="193"/>
      <c r="Q112" s="193"/>
      <c r="R112" s="193"/>
      <c r="S112" s="193"/>
      <c r="T112" s="193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</row>
    <row r="113" spans="1:47" ht="14.25" x14ac:dyDescent="0.2">
      <c r="A113" s="131" t="s">
        <v>273</v>
      </c>
      <c r="B113" s="1242" t="s">
        <v>281</v>
      </c>
      <c r="C113" s="1320">
        <f>$C$162</f>
        <v>0.71101040000000004</v>
      </c>
      <c r="D113" s="1318"/>
      <c r="E113" s="1318"/>
      <c r="F113" s="1318"/>
      <c r="G113" s="1318"/>
      <c r="H113" s="1318"/>
      <c r="I113" s="1318"/>
      <c r="J113" s="1318"/>
      <c r="K113" s="1318"/>
      <c r="L113" s="1318"/>
      <c r="M113" s="1318"/>
      <c r="N113" s="210"/>
      <c r="O113" s="193"/>
      <c r="P113" s="193"/>
      <c r="Q113" s="193"/>
      <c r="R113" s="193"/>
      <c r="S113" s="193"/>
      <c r="T113" s="193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</row>
    <row r="114" spans="1:47" ht="14.25" x14ac:dyDescent="0.2">
      <c r="A114" s="131" t="s">
        <v>273</v>
      </c>
      <c r="B114" s="1237" t="s">
        <v>261</v>
      </c>
      <c r="C114" s="1320">
        <f>$C$162</f>
        <v>0.71101040000000004</v>
      </c>
      <c r="D114" s="1318"/>
      <c r="E114" s="1318"/>
      <c r="F114" s="1318"/>
      <c r="G114" s="1318"/>
      <c r="H114" s="1318"/>
      <c r="I114" s="1318"/>
      <c r="J114" s="1318"/>
      <c r="K114" s="1318"/>
      <c r="L114" s="1318"/>
      <c r="M114" s="1318"/>
      <c r="N114" s="210"/>
      <c r="O114" s="193"/>
      <c r="P114" s="193"/>
      <c r="Q114" s="193"/>
      <c r="R114" s="193"/>
      <c r="S114" s="193"/>
      <c r="T114" s="193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</row>
    <row r="115" spans="1:47" ht="14.25" x14ac:dyDescent="0.2">
      <c r="A115" s="129"/>
      <c r="B115" s="1237" t="s">
        <v>901</v>
      </c>
      <c r="C115" s="1320">
        <f t="shared" ref="C115:C116" si="0">$C$162</f>
        <v>0.71101040000000004</v>
      </c>
      <c r="D115" s="1318"/>
      <c r="E115" s="1318"/>
      <c r="F115" s="1318"/>
      <c r="G115" s="1318"/>
      <c r="H115" s="1318"/>
      <c r="I115" s="1318"/>
      <c r="J115" s="1318"/>
      <c r="K115" s="1318"/>
      <c r="L115" s="1318"/>
      <c r="M115" s="1318"/>
      <c r="N115" s="210"/>
      <c r="O115" s="193"/>
      <c r="P115" s="193"/>
      <c r="Q115" s="193"/>
      <c r="R115" s="193"/>
      <c r="S115" s="193"/>
      <c r="T115" s="193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</row>
    <row r="116" spans="1:47" ht="12.75" customHeight="1" x14ac:dyDescent="0.2">
      <c r="A116" s="129"/>
      <c r="B116" s="1242" t="s">
        <v>902</v>
      </c>
      <c r="C116" s="1320">
        <f t="shared" si="0"/>
        <v>0.71101040000000004</v>
      </c>
      <c r="D116" s="1318"/>
      <c r="E116" s="1318"/>
      <c r="F116" s="1318"/>
      <c r="G116" s="1318"/>
      <c r="H116" s="1318"/>
      <c r="I116" s="1318"/>
      <c r="J116" s="1318"/>
      <c r="K116" s="1318"/>
      <c r="L116" s="1318"/>
      <c r="M116" s="1318"/>
      <c r="N116" s="210"/>
      <c r="O116" s="193"/>
      <c r="P116" s="193"/>
      <c r="Q116" s="193"/>
      <c r="R116" s="193"/>
      <c r="S116" s="193"/>
      <c r="T116" s="193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</row>
    <row r="117" spans="1:47" ht="14.25" x14ac:dyDescent="0.2">
      <c r="B117" s="1298"/>
      <c r="C117" s="1321"/>
      <c r="D117" s="1239"/>
      <c r="E117" s="1239"/>
      <c r="F117" s="1239"/>
      <c r="G117" s="1318"/>
      <c r="H117" s="1318"/>
      <c r="I117" s="1318"/>
      <c r="J117" s="1318"/>
      <c r="K117" s="1318"/>
      <c r="L117" s="1318"/>
      <c r="M117" s="1318"/>
      <c r="N117" s="210"/>
      <c r="O117" s="193"/>
      <c r="P117" s="193"/>
      <c r="Q117" s="193"/>
      <c r="R117" s="193"/>
      <c r="S117" s="193"/>
      <c r="T117" s="193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</row>
    <row r="118" spans="1:47" s="127" customFormat="1" ht="15" x14ac:dyDescent="0.2">
      <c r="A118" s="126">
        <v>10</v>
      </c>
      <c r="B118" s="1295" t="s">
        <v>169</v>
      </c>
      <c r="C118" s="1296"/>
      <c r="D118" s="1297"/>
      <c r="E118" s="1297"/>
      <c r="F118" s="1297"/>
      <c r="G118" s="1297"/>
      <c r="H118" s="1297"/>
      <c r="I118" s="1297"/>
      <c r="J118" s="1297"/>
      <c r="K118" s="1297"/>
      <c r="L118" s="1297"/>
      <c r="M118" s="1297"/>
      <c r="N118" s="581"/>
      <c r="O118" s="581"/>
      <c r="P118" s="581"/>
      <c r="Q118" s="581"/>
      <c r="R118" s="581"/>
      <c r="S118" s="581"/>
      <c r="T118" s="581"/>
      <c r="U118" s="581"/>
      <c r="V118" s="581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92"/>
      <c r="AO118" s="92"/>
      <c r="AP118" s="92"/>
      <c r="AQ118" s="92"/>
      <c r="AR118" s="92"/>
      <c r="AS118" s="92"/>
      <c r="AT118" s="92"/>
      <c r="AU118" s="92"/>
    </row>
    <row r="119" spans="1:47" ht="15" x14ac:dyDescent="0.25">
      <c r="A119" s="128"/>
      <c r="B119" s="1233" t="s">
        <v>263</v>
      </c>
      <c r="C119" s="1234" t="s">
        <v>169</v>
      </c>
      <c r="D119" s="1239"/>
      <c r="E119" s="1239"/>
      <c r="F119" s="1239"/>
      <c r="G119" s="1318"/>
      <c r="H119" s="1318"/>
      <c r="I119" s="1318"/>
      <c r="J119" s="1318"/>
      <c r="K119" s="1318"/>
      <c r="L119" s="1318"/>
      <c r="M119" s="1318"/>
      <c r="N119" s="210"/>
      <c r="O119" s="193"/>
      <c r="P119" s="193"/>
      <c r="Q119" s="193"/>
      <c r="R119" s="193"/>
      <c r="S119" s="193"/>
      <c r="T119" s="193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</row>
    <row r="120" spans="1:47" ht="14.25" x14ac:dyDescent="0.2">
      <c r="A120" s="131" t="s">
        <v>275</v>
      </c>
      <c r="B120" s="1237" t="s">
        <v>257</v>
      </c>
      <c r="C120" s="1238">
        <v>0</v>
      </c>
      <c r="D120" s="1239"/>
      <c r="E120" s="1239"/>
      <c r="F120" s="1239"/>
      <c r="G120" s="1318"/>
      <c r="H120" s="1318"/>
      <c r="I120" s="1318"/>
      <c r="J120" s="1318"/>
      <c r="K120" s="1318"/>
      <c r="L120" s="1318"/>
      <c r="M120" s="1318"/>
      <c r="N120" s="210"/>
      <c r="O120" s="193"/>
      <c r="P120" s="193"/>
      <c r="Q120" s="193"/>
      <c r="R120" s="193"/>
      <c r="S120" s="193"/>
      <c r="T120" s="193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</row>
    <row r="121" spans="1:47" ht="14.25" x14ac:dyDescent="0.2">
      <c r="A121" s="131" t="s">
        <v>275</v>
      </c>
      <c r="B121" s="1237" t="s">
        <v>259</v>
      </c>
      <c r="C121" s="1238">
        <v>0</v>
      </c>
      <c r="D121" s="1239"/>
      <c r="E121" s="1239"/>
      <c r="F121" s="1239"/>
      <c r="G121" s="1318"/>
      <c r="H121" s="1318"/>
      <c r="I121" s="1318"/>
      <c r="J121" s="1318"/>
      <c r="K121" s="1318"/>
      <c r="L121" s="1318"/>
      <c r="M121" s="1318"/>
      <c r="N121" s="210"/>
      <c r="O121" s="193"/>
      <c r="P121" s="193"/>
      <c r="Q121" s="193"/>
      <c r="R121" s="193"/>
      <c r="S121" s="193"/>
      <c r="T121" s="193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</row>
    <row r="122" spans="1:47" ht="14.25" x14ac:dyDescent="0.2">
      <c r="A122" s="131" t="s">
        <v>275</v>
      </c>
      <c r="B122" s="1242" t="s">
        <v>281</v>
      </c>
      <c r="C122" s="1238">
        <v>0</v>
      </c>
      <c r="D122" s="1239"/>
      <c r="E122" s="1239"/>
      <c r="F122" s="1239"/>
      <c r="G122" s="1318"/>
      <c r="H122" s="1318"/>
      <c r="I122" s="1318"/>
      <c r="J122" s="1318"/>
      <c r="K122" s="1318"/>
      <c r="L122" s="1318"/>
      <c r="M122" s="1318"/>
      <c r="N122" s="210"/>
      <c r="O122" s="193"/>
      <c r="P122" s="193"/>
      <c r="Q122" s="193"/>
      <c r="R122" s="193"/>
      <c r="S122" s="193"/>
      <c r="T122" s="193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</row>
    <row r="123" spans="1:47" ht="14.25" x14ac:dyDescent="0.2">
      <c r="A123" s="131" t="s">
        <v>275</v>
      </c>
      <c r="B123" s="1237" t="s">
        <v>261</v>
      </c>
      <c r="C123" s="1238">
        <v>0</v>
      </c>
      <c r="D123" s="1239"/>
      <c r="E123" s="1239"/>
      <c r="F123" s="1239"/>
      <c r="G123" s="1318"/>
      <c r="H123" s="1318"/>
      <c r="I123" s="1318"/>
      <c r="J123" s="1318"/>
      <c r="K123" s="1318"/>
      <c r="L123" s="1318"/>
      <c r="M123" s="1318"/>
      <c r="N123" s="210"/>
      <c r="O123" s="193"/>
      <c r="P123" s="193"/>
      <c r="Q123" s="193"/>
      <c r="R123" s="193"/>
      <c r="S123" s="193"/>
      <c r="T123" s="193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</row>
    <row r="124" spans="1:47" ht="14.25" x14ac:dyDescent="0.2">
      <c r="A124" s="129"/>
      <c r="B124" s="1237" t="s">
        <v>901</v>
      </c>
      <c r="C124" s="1238">
        <v>0</v>
      </c>
      <c r="D124" s="1239"/>
      <c r="E124" s="1239"/>
      <c r="F124" s="1239"/>
      <c r="G124" s="1318"/>
      <c r="H124" s="1318"/>
      <c r="I124" s="1318"/>
      <c r="J124" s="1318"/>
      <c r="K124" s="1318"/>
      <c r="L124" s="1318"/>
      <c r="M124" s="1318"/>
      <c r="N124" s="210"/>
      <c r="O124" s="193"/>
      <c r="P124" s="193"/>
      <c r="Q124" s="193"/>
      <c r="R124" s="193"/>
      <c r="S124" s="193"/>
      <c r="T124" s="193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</row>
    <row r="125" spans="1:47" ht="12.75" customHeight="1" x14ac:dyDescent="0.2">
      <c r="A125" s="129"/>
      <c r="B125" s="1242" t="s">
        <v>902</v>
      </c>
      <c r="C125" s="1238">
        <v>0</v>
      </c>
      <c r="D125" s="1239"/>
      <c r="E125" s="1239"/>
      <c r="F125" s="1239"/>
      <c r="G125" s="1318"/>
      <c r="H125" s="1318"/>
      <c r="I125" s="1318"/>
      <c r="J125" s="1318"/>
      <c r="K125" s="1318"/>
      <c r="L125" s="1318"/>
      <c r="M125" s="1318"/>
      <c r="N125" s="210"/>
      <c r="O125" s="193"/>
      <c r="P125" s="193"/>
      <c r="Q125" s="193"/>
      <c r="R125" s="193"/>
      <c r="S125" s="193"/>
      <c r="T125" s="193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</row>
    <row r="126" spans="1:47" ht="14.25" x14ac:dyDescent="0.2">
      <c r="B126" s="1244"/>
      <c r="C126" s="1299"/>
      <c r="D126" s="1239"/>
      <c r="E126" s="1239"/>
      <c r="F126" s="1239"/>
      <c r="G126" s="1318"/>
      <c r="H126" s="1318"/>
      <c r="I126" s="1318"/>
      <c r="J126" s="1318"/>
      <c r="K126" s="1318"/>
      <c r="L126" s="1318"/>
      <c r="M126" s="1318"/>
      <c r="N126" s="210"/>
      <c r="O126" s="193"/>
      <c r="P126" s="193"/>
      <c r="Q126" s="193"/>
      <c r="R126" s="193"/>
      <c r="S126" s="193"/>
      <c r="T126" s="193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</row>
    <row r="127" spans="1:47" s="127" customFormat="1" ht="15" x14ac:dyDescent="0.2">
      <c r="A127" s="126"/>
      <c r="B127" s="1295" t="s">
        <v>250</v>
      </c>
      <c r="C127" s="1296" t="s">
        <v>251</v>
      </c>
      <c r="D127" s="1297"/>
      <c r="E127" s="1297"/>
      <c r="F127" s="1297"/>
      <c r="G127" s="1297"/>
      <c r="H127" s="1297"/>
      <c r="I127" s="1297"/>
      <c r="J127" s="1297"/>
      <c r="K127" s="1297"/>
      <c r="L127" s="1297"/>
      <c r="M127" s="1297"/>
      <c r="N127" s="581"/>
      <c r="O127" s="581"/>
      <c r="P127" s="581"/>
      <c r="Q127" s="581"/>
      <c r="R127" s="581"/>
      <c r="S127" s="581"/>
      <c r="T127" s="581"/>
      <c r="U127" s="581"/>
      <c r="V127" s="581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92"/>
      <c r="AO127" s="92"/>
      <c r="AP127" s="92"/>
      <c r="AQ127" s="92"/>
      <c r="AR127" s="92"/>
      <c r="AS127" s="92"/>
      <c r="AT127" s="92"/>
      <c r="AU127" s="92"/>
    </row>
    <row r="128" spans="1:47" ht="14.25" x14ac:dyDescent="0.2">
      <c r="A128" s="141" t="s">
        <v>189</v>
      </c>
      <c r="B128" s="1322" t="s">
        <v>190</v>
      </c>
      <c r="C128" s="1323" t="s">
        <v>69</v>
      </c>
      <c r="D128" s="1324"/>
      <c r="E128" s="1239"/>
      <c r="F128" s="1239"/>
      <c r="G128" s="1239"/>
      <c r="H128" s="1239"/>
      <c r="I128" s="1239"/>
      <c r="J128" s="1239"/>
      <c r="K128" s="1239"/>
      <c r="L128" s="1239"/>
      <c r="M128" s="1239"/>
      <c r="N128" s="193"/>
      <c r="O128" s="193"/>
      <c r="P128" s="193"/>
      <c r="Q128" s="193"/>
      <c r="R128" s="193"/>
      <c r="S128" s="193"/>
      <c r="T128" s="193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</row>
    <row r="129" spans="1:39" ht="14.25" x14ac:dyDescent="0.2">
      <c r="A129" s="142" t="s">
        <v>191</v>
      </c>
      <c r="B129" s="1325" t="s">
        <v>192</v>
      </c>
      <c r="C129" s="1326">
        <v>0.2</v>
      </c>
      <c r="D129" s="1327"/>
      <c r="E129" s="1239"/>
      <c r="F129" s="1239"/>
      <c r="G129" s="1239"/>
      <c r="H129" s="1239"/>
      <c r="I129" s="1239"/>
      <c r="J129" s="1239"/>
      <c r="K129" s="1239"/>
      <c r="L129" s="1239"/>
      <c r="M129" s="1239"/>
      <c r="N129" s="193"/>
      <c r="O129" s="193"/>
      <c r="P129" s="193"/>
      <c r="Q129" s="193"/>
      <c r="R129" s="193"/>
      <c r="S129" s="193"/>
      <c r="T129" s="193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</row>
    <row r="130" spans="1:39" ht="14.25" x14ac:dyDescent="0.2">
      <c r="A130" s="142" t="s">
        <v>193</v>
      </c>
      <c r="B130" s="1325" t="s">
        <v>194</v>
      </c>
      <c r="C130" s="1326">
        <v>1.4999999999999999E-2</v>
      </c>
      <c r="D130" s="1327"/>
      <c r="E130" s="1239"/>
      <c r="F130" s="1239"/>
      <c r="G130" s="1239"/>
      <c r="H130" s="1239"/>
      <c r="I130" s="1239"/>
      <c r="J130" s="1239"/>
      <c r="K130" s="1239"/>
      <c r="L130" s="1239"/>
      <c r="M130" s="1239"/>
      <c r="N130" s="193"/>
      <c r="O130" s="193"/>
      <c r="P130" s="193"/>
      <c r="Q130" s="193"/>
      <c r="R130" s="193"/>
      <c r="S130" s="193"/>
      <c r="T130" s="193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</row>
    <row r="131" spans="1:39" ht="14.25" x14ac:dyDescent="0.2">
      <c r="A131" s="142" t="s">
        <v>195</v>
      </c>
      <c r="B131" s="1325" t="s">
        <v>196</v>
      </c>
      <c r="C131" s="1326">
        <v>0.01</v>
      </c>
      <c r="D131" s="1327"/>
      <c r="E131" s="1239"/>
      <c r="F131" s="1239"/>
      <c r="G131" s="1239"/>
      <c r="H131" s="1239"/>
      <c r="I131" s="1239"/>
      <c r="J131" s="1239"/>
      <c r="K131" s="1239"/>
      <c r="L131" s="1239"/>
      <c r="M131" s="1239"/>
      <c r="N131" s="193"/>
      <c r="O131" s="193"/>
      <c r="P131" s="193"/>
      <c r="Q131" s="193"/>
      <c r="R131" s="193"/>
      <c r="S131" s="193"/>
      <c r="T131" s="193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</row>
    <row r="132" spans="1:39" ht="14.25" x14ac:dyDescent="0.2">
      <c r="A132" s="142" t="s">
        <v>197</v>
      </c>
      <c r="B132" s="1325" t="s">
        <v>198</v>
      </c>
      <c r="C132" s="1326">
        <v>2E-3</v>
      </c>
      <c r="D132" s="1327"/>
      <c r="E132" s="1239"/>
      <c r="F132" s="1239"/>
      <c r="G132" s="1239"/>
      <c r="H132" s="1239"/>
      <c r="I132" s="1239"/>
      <c r="J132" s="1239"/>
      <c r="K132" s="1239"/>
      <c r="L132" s="1239"/>
      <c r="M132" s="1239"/>
      <c r="N132" s="193"/>
      <c r="O132" s="193"/>
      <c r="P132" s="193"/>
      <c r="Q132" s="193"/>
      <c r="R132" s="193"/>
      <c r="S132" s="193"/>
      <c r="T132" s="193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</row>
    <row r="133" spans="1:39" ht="14.25" x14ac:dyDescent="0.2">
      <c r="A133" s="142" t="s">
        <v>199</v>
      </c>
      <c r="B133" s="1325" t="s">
        <v>200</v>
      </c>
      <c r="C133" s="1326">
        <v>6.0000000000000001E-3</v>
      </c>
      <c r="D133" s="1327"/>
      <c r="E133" s="1239"/>
      <c r="F133" s="1239"/>
      <c r="G133" s="1239"/>
      <c r="H133" s="1239"/>
      <c r="I133" s="1239"/>
      <c r="J133" s="1239"/>
      <c r="K133" s="1239"/>
      <c r="L133" s="1239"/>
      <c r="M133" s="1239"/>
      <c r="N133" s="193"/>
      <c r="O133" s="193"/>
      <c r="P133" s="193"/>
      <c r="Q133" s="193"/>
      <c r="R133" s="193"/>
      <c r="S133" s="193"/>
      <c r="T133" s="193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</row>
    <row r="134" spans="1:39" ht="14.25" x14ac:dyDescent="0.2">
      <c r="A134" s="142" t="s">
        <v>201</v>
      </c>
      <c r="B134" s="1325" t="s">
        <v>202</v>
      </c>
      <c r="C134" s="1326">
        <v>2.5000000000000001E-2</v>
      </c>
      <c r="D134" s="1327"/>
      <c r="E134" s="1239"/>
      <c r="F134" s="1239"/>
      <c r="G134" s="1239"/>
      <c r="H134" s="1239"/>
      <c r="I134" s="1239"/>
      <c r="J134" s="1239"/>
      <c r="K134" s="1239"/>
      <c r="L134" s="1239"/>
      <c r="M134" s="1239"/>
      <c r="N134" s="193"/>
      <c r="O134" s="193"/>
      <c r="P134" s="193"/>
      <c r="Q134" s="193"/>
      <c r="R134" s="193"/>
      <c r="S134" s="193"/>
      <c r="T134" s="193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</row>
    <row r="135" spans="1:39" s="87" customFormat="1" ht="14.25" x14ac:dyDescent="0.2">
      <c r="A135" s="142" t="s">
        <v>203</v>
      </c>
      <c r="B135" s="1325" t="s">
        <v>204</v>
      </c>
      <c r="C135" s="1326">
        <v>0.03</v>
      </c>
      <c r="D135" s="1327"/>
      <c r="E135" s="1239"/>
      <c r="F135" s="1239"/>
      <c r="G135" s="1239"/>
      <c r="H135" s="1239"/>
      <c r="I135" s="1239"/>
      <c r="J135" s="1239"/>
      <c r="K135" s="1239"/>
      <c r="L135" s="1239"/>
      <c r="M135" s="1239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</row>
    <row r="136" spans="1:39" s="87" customFormat="1" ht="14.25" x14ac:dyDescent="0.2">
      <c r="A136" s="142" t="s">
        <v>205</v>
      </c>
      <c r="B136" s="1325" t="s">
        <v>206</v>
      </c>
      <c r="C136" s="1326">
        <v>0.08</v>
      </c>
      <c r="D136" s="1327"/>
      <c r="E136" s="1239"/>
      <c r="F136" s="1239"/>
      <c r="G136" s="1239"/>
      <c r="H136" s="1239"/>
      <c r="I136" s="1239"/>
      <c r="J136" s="1239"/>
      <c r="K136" s="1239"/>
      <c r="L136" s="1239"/>
      <c r="M136" s="1239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</row>
    <row r="137" spans="1:39" s="87" customFormat="1" ht="14.25" x14ac:dyDescent="0.2">
      <c r="A137" s="142" t="s">
        <v>618</v>
      </c>
      <c r="B137" s="1325" t="s">
        <v>619</v>
      </c>
      <c r="C137" s="1326">
        <v>0.01</v>
      </c>
      <c r="D137" s="1327"/>
      <c r="E137" s="1239"/>
      <c r="F137" s="1239"/>
      <c r="G137" s="1239"/>
      <c r="H137" s="1239"/>
      <c r="I137" s="1239"/>
      <c r="J137" s="1239"/>
      <c r="K137" s="1239"/>
      <c r="L137" s="1239"/>
      <c r="M137" s="1239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</row>
    <row r="138" spans="1:39" s="87" customFormat="1" ht="15" x14ac:dyDescent="0.2">
      <c r="A138" s="142" t="s">
        <v>207</v>
      </c>
      <c r="B138" s="1328" t="s">
        <v>208</v>
      </c>
      <c r="C138" s="1329">
        <f>SUM(C129:C137)</f>
        <v>0.37800000000000006</v>
      </c>
      <c r="D138" s="1330"/>
      <c r="E138" s="1239"/>
      <c r="F138" s="1239"/>
      <c r="G138" s="1239"/>
      <c r="H138" s="1239"/>
      <c r="I138" s="1239"/>
      <c r="J138" s="1239"/>
      <c r="K138" s="1239"/>
      <c r="L138" s="1239"/>
      <c r="M138" s="1239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</row>
    <row r="139" spans="1:39" s="87" customFormat="1" ht="15" x14ac:dyDescent="0.2">
      <c r="A139" s="166"/>
      <c r="B139" s="1331"/>
      <c r="C139" s="1332"/>
      <c r="D139" s="1330"/>
      <c r="E139" s="1239"/>
      <c r="F139" s="1239"/>
      <c r="G139" s="1239"/>
      <c r="H139" s="1239"/>
      <c r="I139" s="1239"/>
      <c r="J139" s="1239"/>
      <c r="K139" s="1239"/>
      <c r="L139" s="1239"/>
      <c r="M139" s="1239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</row>
    <row r="140" spans="1:39" s="87" customFormat="1" ht="14.25" x14ac:dyDescent="0.2">
      <c r="A140" s="142" t="s">
        <v>209</v>
      </c>
      <c r="B140" s="1333" t="s">
        <v>210</v>
      </c>
      <c r="C140" s="1334">
        <v>0</v>
      </c>
      <c r="D140" s="1335"/>
      <c r="E140" s="1239"/>
      <c r="F140" s="1239"/>
      <c r="G140" s="1239"/>
      <c r="H140" s="1239"/>
      <c r="I140" s="1239"/>
      <c r="J140" s="1239"/>
      <c r="K140" s="1239"/>
      <c r="L140" s="1239"/>
      <c r="M140" s="1239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</row>
    <row r="141" spans="1:39" s="87" customFormat="1" ht="14.25" x14ac:dyDescent="0.2">
      <c r="A141" s="142" t="s">
        <v>211</v>
      </c>
      <c r="B141" s="1333" t="s">
        <v>212</v>
      </c>
      <c r="C141" s="1334">
        <v>0</v>
      </c>
      <c r="D141" s="1335"/>
      <c r="E141" s="1239"/>
      <c r="F141" s="1239"/>
      <c r="G141" s="1239"/>
      <c r="H141" s="1239"/>
      <c r="I141" s="1239"/>
      <c r="J141" s="1239"/>
      <c r="K141" s="1239"/>
      <c r="L141" s="1239"/>
      <c r="M141" s="1239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</row>
    <row r="142" spans="1:39" s="87" customFormat="1" ht="14.25" x14ac:dyDescent="0.2">
      <c r="A142" s="142" t="s">
        <v>213</v>
      </c>
      <c r="B142" s="1333" t="s">
        <v>214</v>
      </c>
      <c r="C142" s="1334">
        <v>6.6E-3</v>
      </c>
      <c r="D142" s="1335"/>
      <c r="E142" s="1239"/>
      <c r="F142" s="1239"/>
      <c r="G142" s="1239"/>
      <c r="H142" s="1239"/>
      <c r="I142" s="1239"/>
      <c r="J142" s="1239"/>
      <c r="K142" s="1239"/>
      <c r="L142" s="1239"/>
      <c r="M142" s="1239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</row>
    <row r="143" spans="1:39" s="87" customFormat="1" ht="14.25" x14ac:dyDescent="0.2">
      <c r="A143" s="142" t="s">
        <v>215</v>
      </c>
      <c r="B143" s="1333" t="s">
        <v>216</v>
      </c>
      <c r="C143" s="1334">
        <v>8.3299999999999999E-2</v>
      </c>
      <c r="D143" s="1335"/>
      <c r="E143" s="1239"/>
      <c r="F143" s="1239"/>
      <c r="G143" s="1239"/>
      <c r="H143" s="1239"/>
      <c r="I143" s="1239"/>
      <c r="J143" s="1239"/>
      <c r="K143" s="1239"/>
      <c r="L143" s="1239"/>
      <c r="M143" s="1239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</row>
    <row r="144" spans="1:39" s="87" customFormat="1" ht="14.25" x14ac:dyDescent="0.2">
      <c r="A144" s="142" t="s">
        <v>217</v>
      </c>
      <c r="B144" s="1333" t="s">
        <v>218</v>
      </c>
      <c r="C144" s="1334">
        <v>5.9999999999999995E-4</v>
      </c>
      <c r="D144" s="1335"/>
      <c r="E144" s="1239"/>
      <c r="F144" s="1239"/>
      <c r="G144" s="1239"/>
      <c r="H144" s="1239"/>
      <c r="I144" s="1239"/>
      <c r="J144" s="1239"/>
      <c r="K144" s="1239"/>
      <c r="L144" s="1239"/>
      <c r="M144" s="1239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</row>
    <row r="145" spans="1:39" s="87" customFormat="1" ht="14.25" x14ac:dyDescent="0.2">
      <c r="A145" s="142" t="s">
        <v>219</v>
      </c>
      <c r="B145" s="1333" t="s">
        <v>220</v>
      </c>
      <c r="C145" s="1334">
        <v>5.5999999999999999E-3</v>
      </c>
      <c r="D145" s="1335"/>
      <c r="E145" s="1239"/>
      <c r="F145" s="1239"/>
      <c r="G145" s="1239"/>
      <c r="H145" s="1239"/>
      <c r="I145" s="1239"/>
      <c r="J145" s="1239"/>
      <c r="K145" s="1239"/>
      <c r="L145" s="1239"/>
      <c r="M145" s="1239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</row>
    <row r="146" spans="1:39" s="87" customFormat="1" ht="14.25" x14ac:dyDescent="0.2">
      <c r="A146" s="142" t="s">
        <v>221</v>
      </c>
      <c r="B146" s="1333" t="s">
        <v>222</v>
      </c>
      <c r="C146" s="1334">
        <v>0</v>
      </c>
      <c r="D146" s="1335"/>
      <c r="E146" s="1239"/>
      <c r="F146" s="1239"/>
      <c r="G146" s="1239"/>
      <c r="H146" s="1239"/>
      <c r="I146" s="1239"/>
      <c r="J146" s="1239"/>
      <c r="K146" s="1239"/>
      <c r="L146" s="1239"/>
      <c r="M146" s="1239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</row>
    <row r="147" spans="1:39" s="87" customFormat="1" ht="14.25" x14ac:dyDescent="0.2">
      <c r="A147" s="142" t="s">
        <v>223</v>
      </c>
      <c r="B147" s="1333" t="s">
        <v>224</v>
      </c>
      <c r="C147" s="1334">
        <v>8.9999999999999998E-4</v>
      </c>
      <c r="D147" s="1335"/>
      <c r="E147" s="1239"/>
      <c r="F147" s="1239"/>
      <c r="G147" s="1239"/>
      <c r="H147" s="1239"/>
      <c r="I147" s="1239"/>
      <c r="J147" s="1239"/>
      <c r="K147" s="1239"/>
      <c r="L147" s="1239"/>
      <c r="M147" s="1239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</row>
    <row r="148" spans="1:39" s="87" customFormat="1" ht="14.25" x14ac:dyDescent="0.2">
      <c r="A148" s="142" t="s">
        <v>225</v>
      </c>
      <c r="B148" s="1333" t="s">
        <v>226</v>
      </c>
      <c r="C148" s="1334">
        <v>7.5200000000000003E-2</v>
      </c>
      <c r="D148" s="1335"/>
      <c r="E148" s="1239"/>
      <c r="F148" s="1239"/>
      <c r="G148" s="1239"/>
      <c r="H148" s="1239"/>
      <c r="I148" s="1239"/>
      <c r="J148" s="1239"/>
      <c r="K148" s="1239"/>
      <c r="L148" s="1239"/>
      <c r="M148" s="1239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</row>
    <row r="149" spans="1:39" s="87" customFormat="1" ht="14.25" x14ac:dyDescent="0.2">
      <c r="A149" s="142" t="s">
        <v>227</v>
      </c>
      <c r="B149" s="1333" t="s">
        <v>228</v>
      </c>
      <c r="C149" s="1334">
        <v>2.9999999999999997E-4</v>
      </c>
      <c r="D149" s="1335"/>
      <c r="E149" s="1239"/>
      <c r="F149" s="1239"/>
      <c r="G149" s="1239"/>
      <c r="H149" s="1239"/>
      <c r="I149" s="1239"/>
      <c r="J149" s="1239"/>
      <c r="K149" s="1239"/>
      <c r="L149" s="1239"/>
      <c r="M149" s="1239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</row>
    <row r="150" spans="1:39" s="87" customFormat="1" ht="15" x14ac:dyDescent="0.2">
      <c r="A150" s="142" t="s">
        <v>229</v>
      </c>
      <c r="B150" s="1328" t="s">
        <v>230</v>
      </c>
      <c r="C150" s="1329">
        <f>SUM(C140:C149)</f>
        <v>0.17249999999999999</v>
      </c>
      <c r="D150" s="1330"/>
      <c r="E150" s="1239"/>
      <c r="F150" s="1239"/>
      <c r="G150" s="1239"/>
      <c r="H150" s="1239"/>
      <c r="I150" s="1239"/>
      <c r="J150" s="1239"/>
      <c r="K150" s="1239"/>
      <c r="L150" s="1239"/>
      <c r="M150" s="1239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</row>
    <row r="151" spans="1:39" s="87" customFormat="1" ht="15" x14ac:dyDescent="0.2">
      <c r="A151" s="166"/>
      <c r="B151" s="1331"/>
      <c r="C151" s="1332"/>
      <c r="D151" s="1330"/>
      <c r="E151" s="1239"/>
      <c r="F151" s="1239"/>
      <c r="G151" s="1239"/>
      <c r="H151" s="1239"/>
      <c r="I151" s="1239"/>
      <c r="J151" s="1239"/>
      <c r="K151" s="1239"/>
      <c r="L151" s="1239"/>
      <c r="M151" s="1239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</row>
    <row r="152" spans="1:39" s="87" customFormat="1" ht="14.25" x14ac:dyDescent="0.2">
      <c r="A152" s="142" t="s">
        <v>231</v>
      </c>
      <c r="B152" s="1336" t="s">
        <v>232</v>
      </c>
      <c r="C152" s="1334">
        <v>3.5099999999999999E-2</v>
      </c>
      <c r="D152" s="1335"/>
      <c r="E152" s="1239"/>
      <c r="F152" s="1239"/>
      <c r="G152" s="1239"/>
      <c r="H152" s="1239"/>
      <c r="I152" s="1239"/>
      <c r="J152" s="1239"/>
      <c r="K152" s="1239"/>
      <c r="L152" s="1239"/>
      <c r="M152" s="1239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</row>
    <row r="153" spans="1:39" s="87" customFormat="1" ht="14.25" x14ac:dyDescent="0.2">
      <c r="A153" s="142" t="s">
        <v>233</v>
      </c>
      <c r="B153" s="1336" t="s">
        <v>234</v>
      </c>
      <c r="C153" s="1334">
        <v>8.0000000000000004E-4</v>
      </c>
      <c r="D153" s="1335"/>
      <c r="E153" s="1239"/>
      <c r="F153" s="1239"/>
      <c r="G153" s="1239"/>
      <c r="H153" s="1239"/>
      <c r="I153" s="1239"/>
      <c r="J153" s="1239"/>
      <c r="K153" s="1239"/>
      <c r="L153" s="1239"/>
      <c r="M153" s="1239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</row>
    <row r="154" spans="1:39" s="87" customFormat="1" ht="14.25" x14ac:dyDescent="0.2">
      <c r="A154" s="142" t="s">
        <v>235</v>
      </c>
      <c r="B154" s="1336" t="s">
        <v>236</v>
      </c>
      <c r="C154" s="1334">
        <v>2.92E-2</v>
      </c>
      <c r="D154" s="1335"/>
      <c r="E154" s="1239"/>
      <c r="F154" s="1239"/>
      <c r="G154" s="1239"/>
      <c r="H154" s="1239"/>
      <c r="I154" s="1239"/>
      <c r="J154" s="1239"/>
      <c r="K154" s="1239"/>
      <c r="L154" s="1239"/>
      <c r="M154" s="1239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</row>
    <row r="155" spans="1:39" s="87" customFormat="1" ht="14.25" x14ac:dyDescent="0.2">
      <c r="A155" s="142" t="s">
        <v>237</v>
      </c>
      <c r="B155" s="1336" t="s">
        <v>238</v>
      </c>
      <c r="C155" s="1334">
        <v>2.41E-2</v>
      </c>
      <c r="D155" s="1335"/>
      <c r="E155" s="1239"/>
      <c r="F155" s="1239"/>
      <c r="G155" s="1239"/>
      <c r="H155" s="1239"/>
      <c r="I155" s="1239"/>
      <c r="J155" s="1239"/>
      <c r="K155" s="1239"/>
      <c r="L155" s="1239"/>
      <c r="M155" s="1239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</row>
    <row r="156" spans="1:39" s="87" customFormat="1" ht="14.25" x14ac:dyDescent="0.2">
      <c r="A156" s="142" t="s">
        <v>239</v>
      </c>
      <c r="B156" s="1336" t="s">
        <v>240</v>
      </c>
      <c r="C156" s="1334">
        <v>3.0000000000000001E-3</v>
      </c>
      <c r="D156" s="1335"/>
      <c r="E156" s="1239"/>
      <c r="F156" s="1239"/>
      <c r="G156" s="1239"/>
      <c r="H156" s="1239"/>
      <c r="I156" s="1239"/>
      <c r="J156" s="1239"/>
      <c r="K156" s="1239"/>
      <c r="L156" s="1239"/>
      <c r="M156" s="1239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</row>
    <row r="157" spans="1:39" s="87" customFormat="1" ht="15" x14ac:dyDescent="0.2">
      <c r="A157" s="142" t="s">
        <v>241</v>
      </c>
      <c r="B157" s="1328" t="s">
        <v>242</v>
      </c>
      <c r="C157" s="1329">
        <f>SUM(C152:C156)</f>
        <v>9.2200000000000004E-2</v>
      </c>
      <c r="D157" s="1330"/>
      <c r="E157" s="1239"/>
      <c r="F157" s="1239"/>
      <c r="G157" s="1239"/>
      <c r="H157" s="1239"/>
      <c r="I157" s="1239"/>
      <c r="J157" s="1239"/>
      <c r="K157" s="1239"/>
      <c r="L157" s="1239"/>
      <c r="M157" s="1239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</row>
    <row r="158" spans="1:39" s="87" customFormat="1" ht="15" x14ac:dyDescent="0.2">
      <c r="A158" s="166"/>
      <c r="B158" s="1331"/>
      <c r="C158" s="1332"/>
      <c r="D158" s="1330"/>
      <c r="E158" s="1239"/>
      <c r="F158" s="1239"/>
      <c r="G158" s="1239"/>
      <c r="H158" s="1239"/>
      <c r="I158" s="1239"/>
      <c r="J158" s="1239"/>
      <c r="K158" s="1239"/>
      <c r="L158" s="1239"/>
      <c r="M158" s="1239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</row>
    <row r="159" spans="1:39" s="87" customFormat="1" ht="28.5" x14ac:dyDescent="0.2">
      <c r="A159" s="142" t="s">
        <v>243</v>
      </c>
      <c r="B159" s="1337" t="s">
        <v>244</v>
      </c>
      <c r="C159" s="1334">
        <f>ROUND(C138*C150,4)</f>
        <v>6.5199999999999994E-2</v>
      </c>
      <c r="D159" s="1335"/>
      <c r="E159" s="1239"/>
      <c r="F159" s="1239"/>
      <c r="G159" s="1239"/>
      <c r="H159" s="1239"/>
      <c r="I159" s="1239"/>
      <c r="J159" s="1239"/>
      <c r="K159" s="1239"/>
      <c r="L159" s="1239"/>
      <c r="M159" s="1239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</row>
    <row r="160" spans="1:39" s="87" customFormat="1" ht="28.5" x14ac:dyDescent="0.2">
      <c r="A160" s="142" t="s">
        <v>245</v>
      </c>
      <c r="B160" s="1337" t="s">
        <v>246</v>
      </c>
      <c r="C160" s="1334">
        <f>(C138*C153)+(C136*C152)</f>
        <v>3.1104000000000001E-3</v>
      </c>
      <c r="D160" s="1335"/>
      <c r="E160" s="1239"/>
      <c r="F160" s="1239"/>
      <c r="G160" s="1239"/>
      <c r="H160" s="1239"/>
      <c r="I160" s="1239"/>
      <c r="J160" s="1239"/>
      <c r="K160" s="1239"/>
      <c r="L160" s="1239"/>
      <c r="M160" s="1239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</row>
    <row r="161" spans="1:47" s="87" customFormat="1" ht="15" x14ac:dyDescent="0.2">
      <c r="A161" s="142" t="s">
        <v>247</v>
      </c>
      <c r="B161" s="1328" t="s">
        <v>248</v>
      </c>
      <c r="C161" s="1329">
        <f>SUM(C159:C160)</f>
        <v>6.8310399999999993E-2</v>
      </c>
      <c r="D161" s="1330"/>
      <c r="E161" s="1239"/>
      <c r="F161" s="1239"/>
      <c r="G161" s="1239"/>
      <c r="H161" s="1239"/>
      <c r="I161" s="1239"/>
      <c r="J161" s="1239"/>
      <c r="K161" s="1239"/>
      <c r="L161" s="1239"/>
      <c r="M161" s="1239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</row>
    <row r="162" spans="1:47" ht="15" x14ac:dyDescent="0.2">
      <c r="A162" s="166"/>
      <c r="B162" s="1331" t="s">
        <v>249</v>
      </c>
      <c r="C162" s="1332">
        <f>C161+C157+C150+C138</f>
        <v>0.71101040000000004</v>
      </c>
      <c r="D162" s="1330"/>
      <c r="E162" s="1239"/>
      <c r="F162" s="1239"/>
      <c r="G162" s="1239"/>
      <c r="H162" s="1239"/>
      <c r="I162" s="1239"/>
      <c r="J162" s="1239"/>
      <c r="K162" s="1239"/>
      <c r="L162" s="1239"/>
      <c r="M162" s="1239"/>
      <c r="N162" s="193"/>
      <c r="O162" s="193"/>
      <c r="P162" s="193"/>
      <c r="Q162" s="193"/>
      <c r="R162" s="193"/>
      <c r="S162" s="193"/>
      <c r="T162" s="193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</row>
    <row r="163" spans="1:47" ht="14.25" x14ac:dyDescent="0.2">
      <c r="B163" s="1319"/>
      <c r="C163" s="1338"/>
      <c r="D163" s="1239"/>
      <c r="E163" s="1239"/>
      <c r="F163" s="1239"/>
      <c r="G163" s="1239"/>
      <c r="H163" s="1239"/>
      <c r="I163" s="1239"/>
      <c r="J163" s="1239"/>
      <c r="K163" s="1239"/>
      <c r="L163" s="1239"/>
      <c r="M163" s="1239"/>
      <c r="N163" s="193"/>
      <c r="O163" s="193"/>
      <c r="P163" s="193"/>
      <c r="Q163" s="193"/>
      <c r="R163" s="193"/>
      <c r="S163" s="193"/>
      <c r="T163" s="193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</row>
    <row r="164" spans="1:47" s="130" customFormat="1" ht="15" x14ac:dyDescent="0.2">
      <c r="A164" s="154"/>
      <c r="B164" s="1339" t="s">
        <v>753</v>
      </c>
      <c r="C164" s="1340"/>
      <c r="D164" s="1340"/>
      <c r="E164" s="1340"/>
      <c r="F164" s="1340"/>
      <c r="G164" s="1340"/>
      <c r="H164" s="1340"/>
      <c r="I164" s="1341"/>
      <c r="J164" s="1342"/>
      <c r="K164" s="1342"/>
      <c r="L164" s="1342"/>
      <c r="M164" s="1342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581"/>
      <c r="AK164" s="581"/>
      <c r="AL164" s="581"/>
      <c r="AM164" s="581"/>
      <c r="AN164" s="92"/>
      <c r="AO164" s="92"/>
      <c r="AP164" s="92"/>
      <c r="AQ164" s="92"/>
      <c r="AR164" s="92"/>
      <c r="AS164" s="92"/>
      <c r="AT164" s="92"/>
      <c r="AU164" s="92"/>
    </row>
    <row r="165" spans="1:47" ht="15" x14ac:dyDescent="0.25">
      <c r="A165" s="130"/>
      <c r="B165" s="1343" t="s">
        <v>294</v>
      </c>
      <c r="C165" s="1344">
        <v>12</v>
      </c>
      <c r="D165" s="1239"/>
      <c r="E165" s="1239"/>
      <c r="F165" s="1239"/>
      <c r="G165" s="1239"/>
      <c r="H165" s="1239"/>
      <c r="I165" s="1239"/>
      <c r="J165" s="1239"/>
      <c r="K165" s="1239"/>
      <c r="L165" s="1239"/>
      <c r="M165" s="1239"/>
      <c r="N165" s="193"/>
      <c r="O165" s="193"/>
      <c r="P165" s="193"/>
      <c r="Q165" s="193"/>
      <c r="R165" s="193"/>
      <c r="S165" s="193"/>
      <c r="T165" s="193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</row>
    <row r="166" spans="1:47" s="144" customFormat="1" ht="30" x14ac:dyDescent="0.2">
      <c r="A166" s="143"/>
      <c r="B166" s="1345" t="s">
        <v>293</v>
      </c>
      <c r="C166" s="1346" t="s">
        <v>41</v>
      </c>
      <c r="D166" s="1346" t="s">
        <v>42</v>
      </c>
      <c r="E166" s="1346" t="s">
        <v>43</v>
      </c>
      <c r="F166" s="1346" t="s">
        <v>46</v>
      </c>
      <c r="G166" s="1346" t="s">
        <v>84</v>
      </c>
      <c r="H166" s="1346" t="s">
        <v>116</v>
      </c>
      <c r="I166" s="1346" t="s">
        <v>117</v>
      </c>
      <c r="J166" s="1347"/>
      <c r="K166" s="1347"/>
      <c r="L166" s="1347"/>
      <c r="M166" s="1347"/>
      <c r="N166" s="212"/>
      <c r="O166" s="207"/>
      <c r="P166" s="207"/>
      <c r="Q166" s="207"/>
      <c r="R166" s="213"/>
      <c r="S166" s="213"/>
      <c r="T166" s="214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  <c r="AM166" s="212"/>
    </row>
    <row r="167" spans="1:47" ht="15" x14ac:dyDescent="0.25">
      <c r="A167" s="145"/>
      <c r="B167" s="1348" t="s">
        <v>295</v>
      </c>
      <c r="C167" s="1349">
        <v>6</v>
      </c>
      <c r="D167" s="1349">
        <v>6</v>
      </c>
      <c r="E167" s="1349">
        <v>6</v>
      </c>
      <c r="F167" s="1349">
        <v>3</v>
      </c>
      <c r="G167" s="1349">
        <v>2</v>
      </c>
      <c r="H167" s="1349">
        <v>6</v>
      </c>
      <c r="I167" s="1349">
        <v>12</v>
      </c>
      <c r="J167" s="1350"/>
      <c r="K167" s="1235"/>
      <c r="L167" s="1350"/>
      <c r="M167" s="1350"/>
      <c r="N167" s="215"/>
      <c r="O167" s="190"/>
      <c r="P167" s="190"/>
      <c r="Q167" s="190"/>
      <c r="R167" s="215"/>
      <c r="S167" s="215"/>
      <c r="T167" s="192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</row>
    <row r="168" spans="1:47" ht="15" x14ac:dyDescent="0.25">
      <c r="A168" s="145"/>
      <c r="B168" s="1348" t="s">
        <v>296</v>
      </c>
      <c r="C168" s="1349">
        <f t="shared" ref="C168:I168" si="1">C167/$C$165</f>
        <v>0.5</v>
      </c>
      <c r="D168" s="1349">
        <f t="shared" si="1"/>
        <v>0.5</v>
      </c>
      <c r="E168" s="1349">
        <f t="shared" si="1"/>
        <v>0.5</v>
      </c>
      <c r="F168" s="1349">
        <f t="shared" si="1"/>
        <v>0.25</v>
      </c>
      <c r="G168" s="1349"/>
      <c r="H168" s="1349">
        <v>0.33</v>
      </c>
      <c r="I168" s="1349">
        <f t="shared" si="1"/>
        <v>1</v>
      </c>
      <c r="J168" s="1351"/>
      <c r="K168" s="1239"/>
      <c r="L168" s="1351"/>
      <c r="M168" s="1351"/>
      <c r="N168" s="216"/>
      <c r="O168" s="190"/>
      <c r="P168" s="190"/>
      <c r="Q168" s="190"/>
      <c r="R168" s="216"/>
      <c r="S168" s="216"/>
      <c r="T168" s="192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</row>
    <row r="169" spans="1:47" ht="30" x14ac:dyDescent="0.25">
      <c r="A169" s="130"/>
      <c r="B169" s="1352" t="s">
        <v>574</v>
      </c>
      <c r="C169" s="1353">
        <f>$C$24+$D$24+$F$24+$E$25+$G$24+$G$25+$C$51+$E$24+$C$25+$D$25+$F$25</f>
        <v>0.62669999999999992</v>
      </c>
      <c r="D169" s="1353">
        <f>$C$24+$D$24+$F$24+$E$25+$G$24+$G$25+$C$51+$E$24+$C$25+$D$25+$F$25</f>
        <v>0.62669999999999992</v>
      </c>
      <c r="E169" s="1353">
        <f>$C$24+$D$24+$F$24+$E$25+$G$24+$G$25+$C$51+$E$24+$C$25+$D$25+$F$25</f>
        <v>0.62669999999999992</v>
      </c>
      <c r="F169" s="1353">
        <f>$C$24+$D$24+$F$24+$E$25+$G$24+$G$25+$C$51+$E$24+$C$25+$D$25+$F$25</f>
        <v>0.62669999999999992</v>
      </c>
      <c r="G169" s="1353">
        <f>$C$24+$D$24+$F$24+$E$25+$G$24+$G$25+$C$51+$E$24+$C$25+$D$25+$F$25</f>
        <v>0.62669999999999992</v>
      </c>
      <c r="H169" s="1353">
        <f>C51+C24+D24+F24</f>
        <v>0.62669999999999992</v>
      </c>
      <c r="I169" s="1353">
        <f>H169</f>
        <v>0.62669999999999992</v>
      </c>
      <c r="J169" s="1235"/>
      <c r="K169" s="1239"/>
      <c r="L169" s="1235"/>
      <c r="M169" s="1235"/>
      <c r="N169" s="190"/>
      <c r="O169" s="190"/>
      <c r="P169" s="190"/>
      <c r="Q169" s="190"/>
      <c r="R169" s="190"/>
      <c r="S169" s="190"/>
      <c r="T169" s="190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</row>
    <row r="170" spans="1:47" ht="30" x14ac:dyDescent="0.25">
      <c r="A170" s="130"/>
      <c r="B170" s="1352" t="s">
        <v>575</v>
      </c>
      <c r="C170" s="1353">
        <v>0</v>
      </c>
      <c r="D170" s="1353">
        <v>0</v>
      </c>
      <c r="E170" s="1353">
        <v>0</v>
      </c>
      <c r="F170" s="1353">
        <v>0</v>
      </c>
      <c r="G170" s="1353">
        <v>0</v>
      </c>
      <c r="H170" s="1353">
        <v>0</v>
      </c>
      <c r="I170" s="1353">
        <v>0</v>
      </c>
      <c r="J170" s="1235"/>
      <c r="K170" s="1239"/>
      <c r="L170" s="1235"/>
      <c r="M170" s="1235"/>
      <c r="N170" s="190"/>
      <c r="O170" s="190"/>
      <c r="P170" s="190"/>
      <c r="Q170" s="190"/>
      <c r="R170" s="190"/>
      <c r="S170" s="190"/>
      <c r="T170" s="190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</row>
    <row r="171" spans="1:47" ht="30" x14ac:dyDescent="0.25">
      <c r="A171" s="130"/>
      <c r="B171" s="1352" t="s">
        <v>583</v>
      </c>
      <c r="C171" s="1353">
        <f>$E$51+$O$24+$P$24+$R$24+$O$25+$P$25+$R$25</f>
        <v>0.33830000000000005</v>
      </c>
      <c r="D171" s="1353">
        <f>$E$51+$O$24+$P$24+$R$24+$O$25+$P$25+$R$25</f>
        <v>0.33830000000000005</v>
      </c>
      <c r="E171" s="1353">
        <f>$E$51+$O$24+$P$24+$R$24+$O$25+$P$25+$R$25</f>
        <v>0.33830000000000005</v>
      </c>
      <c r="F171" s="1353">
        <f>$E$51+$O$24+$P$24+$R$24+$O$25+$P$25+$R$25</f>
        <v>0.33830000000000005</v>
      </c>
      <c r="G171" s="1353">
        <f>$E$51+$O$24+$P$24+$R$24+$O$25+$P$25+$R$25</f>
        <v>0.33830000000000005</v>
      </c>
      <c r="H171" s="1353">
        <f>E51+O24+P24+R24</f>
        <v>0.33830000000000005</v>
      </c>
      <c r="I171" s="1353">
        <f>H171</f>
        <v>0.33830000000000005</v>
      </c>
      <c r="J171" s="1235"/>
      <c r="K171" s="1235"/>
      <c r="L171" s="1235"/>
      <c r="M171" s="1235"/>
      <c r="N171" s="190"/>
      <c r="O171" s="190"/>
      <c r="P171" s="190"/>
      <c r="Q171" s="190"/>
      <c r="R171" s="190"/>
      <c r="S171" s="190"/>
      <c r="T171" s="190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</row>
    <row r="172" spans="1:47" ht="16.5" customHeight="1" x14ac:dyDescent="0.25">
      <c r="B172" s="1352" t="s">
        <v>773</v>
      </c>
      <c r="C172" s="1353">
        <f>$Y$24+$Z$24+$AA$24+$AB$24+$AC$24+$Y$25+$Z$25+$AA$25+$AB$25+$AC$25+$G$51</f>
        <v>0.21534999999999999</v>
      </c>
      <c r="D172" s="1353">
        <f>$Y$24+$Z$24+$AA$24+$AB$24+$AC$24+$Y$25+$Z$25+$AA$25+$AB$25+$AC$25+$G$51</f>
        <v>0.21534999999999999</v>
      </c>
      <c r="E172" s="1353">
        <f>$Y$24+$Z$24+$AA$24+$AB$24+$AC$24+$Y$25+$Z$25+$AA$25+$AB$25+$AC$25+$G$51</f>
        <v>0.21534999999999999</v>
      </c>
      <c r="F172" s="1353">
        <f>$Y$24+$Z$24+$AA$24+$AB$24+$AC$24+$Y$25+$Z$25+$AA$25+$AB$25+$AC$25+$G$51</f>
        <v>0.21534999999999999</v>
      </c>
      <c r="G172" s="1353">
        <f>$Y$24+$Z$24+$AA$24+$AB$24+$AC$24+$Y$25+$Z$25+$AA$25+$AB$25+$AC$25+$G$51</f>
        <v>0.21534999999999999</v>
      </c>
      <c r="H172" s="1353">
        <f>Y24+Z24+AB24+G51</f>
        <v>0.21534999999999999</v>
      </c>
      <c r="I172" s="1353">
        <f>H172</f>
        <v>0.21534999999999999</v>
      </c>
      <c r="J172" s="1239"/>
      <c r="K172" s="1235"/>
      <c r="L172" s="1239"/>
      <c r="M172" s="1239"/>
      <c r="N172" s="193"/>
      <c r="O172" s="193"/>
      <c r="P172" s="193"/>
      <c r="Q172" s="193"/>
      <c r="R172" s="193"/>
      <c r="S172" s="193"/>
      <c r="T172" s="193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</row>
    <row r="173" spans="1:47" ht="30" x14ac:dyDescent="0.25">
      <c r="B173" s="1352" t="s">
        <v>774</v>
      </c>
      <c r="C173" s="1353">
        <f t="shared" ref="C173:I173" si="2">$T$24+$U$24+$V$24+$W$24+$X$24+$T$25+$U$25+$V$25+$W$25+$X$25</f>
        <v>0.21534999999999999</v>
      </c>
      <c r="D173" s="1353">
        <f t="shared" si="2"/>
        <v>0.21534999999999999</v>
      </c>
      <c r="E173" s="1353">
        <f t="shared" si="2"/>
        <v>0.21534999999999999</v>
      </c>
      <c r="F173" s="1353">
        <f t="shared" si="2"/>
        <v>0.21534999999999999</v>
      </c>
      <c r="G173" s="1353">
        <f t="shared" si="2"/>
        <v>0.21534999999999999</v>
      </c>
      <c r="H173" s="1353">
        <f t="shared" si="2"/>
        <v>0.21534999999999999</v>
      </c>
      <c r="I173" s="1353">
        <f t="shared" si="2"/>
        <v>0.21534999999999999</v>
      </c>
      <c r="J173" s="1239"/>
      <c r="K173" s="1235"/>
      <c r="L173" s="1239"/>
      <c r="M173" s="1239"/>
      <c r="N173" s="193"/>
      <c r="O173" s="193"/>
      <c r="P173" s="193"/>
      <c r="Q173" s="193"/>
      <c r="R173" s="193"/>
      <c r="S173" s="193"/>
      <c r="T173" s="193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</row>
    <row r="174" spans="1:47" ht="30" x14ac:dyDescent="0.25">
      <c r="B174" s="1352" t="s">
        <v>648</v>
      </c>
      <c r="C174" s="1353">
        <f>$AI$24+$AJ$24+$AK$24+$AL$24+$AM$24+$AI$25+$AJ$25+$AK$25+$AL$25+$AM$25+$H$51</f>
        <v>1</v>
      </c>
      <c r="D174" s="1353">
        <f>$AI$24+$AJ$24+$AK$24+$AL$24+$AM$24+$AI$25+$AJ$25+$AK$25+$AL$25+$AM$25+$H$51</f>
        <v>1</v>
      </c>
      <c r="E174" s="1353">
        <f>$AI$24+$AJ$24+$AK$24+$AL$24+$AM$24+$AI$25+$AJ$25+$AK$25+$AL$25+$AM$25+$H$51</f>
        <v>1</v>
      </c>
      <c r="F174" s="1353">
        <f>$AI$24+$AJ$24+$AK$24+$AL$24+$AM$24+$AI$25+$AJ$25+$AK$25+$AL$25+$AM$25+$H$51</f>
        <v>1</v>
      </c>
      <c r="G174" s="1353">
        <f>$AI$24+$AJ$24+$AK$24+$AL$24+$AM$24+$AI$25+$AJ$25+$AK$25+$AL$25+$AM$25+$H$51</f>
        <v>1</v>
      </c>
      <c r="H174" s="1353">
        <f>AI24+AJ24+AL24+H51</f>
        <v>1</v>
      </c>
      <c r="I174" s="1353">
        <f>H174</f>
        <v>1</v>
      </c>
      <c r="J174" s="1239"/>
      <c r="K174" s="1235"/>
      <c r="L174" s="1239"/>
      <c r="M174" s="1239"/>
      <c r="N174" s="193"/>
      <c r="O174" s="193"/>
      <c r="P174" s="193"/>
      <c r="Q174" s="193"/>
      <c r="R174" s="193"/>
      <c r="S174" s="193"/>
      <c r="T174" s="193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</row>
    <row r="175" spans="1:47" ht="15" x14ac:dyDescent="0.25">
      <c r="A175" s="130"/>
      <c r="B175" s="1348" t="s">
        <v>576</v>
      </c>
      <c r="C175" s="1354">
        <f t="shared" ref="C175:I175" si="3">C169*C168</f>
        <v>0.31334999999999996</v>
      </c>
      <c r="D175" s="1354">
        <f t="shared" si="3"/>
        <v>0.31334999999999996</v>
      </c>
      <c r="E175" s="1354">
        <f t="shared" si="3"/>
        <v>0.31334999999999996</v>
      </c>
      <c r="F175" s="1354">
        <f t="shared" si="3"/>
        <v>0.15667499999999998</v>
      </c>
      <c r="G175" s="1354">
        <f t="shared" si="3"/>
        <v>0</v>
      </c>
      <c r="H175" s="1354">
        <f t="shared" si="3"/>
        <v>0.20681099999999999</v>
      </c>
      <c r="I175" s="1354">
        <f t="shared" si="3"/>
        <v>0.62669999999999992</v>
      </c>
      <c r="J175" s="1355"/>
      <c r="K175" s="1235"/>
      <c r="L175" s="1355"/>
      <c r="M175" s="1355"/>
      <c r="N175" s="217"/>
      <c r="O175" s="193"/>
      <c r="P175" s="190"/>
      <c r="Q175" s="190"/>
      <c r="R175" s="217"/>
      <c r="S175" s="217"/>
      <c r="T175" s="192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</row>
    <row r="176" spans="1:47" ht="15" x14ac:dyDescent="0.25">
      <c r="A176" s="130"/>
      <c r="B176" s="1348" t="s">
        <v>577</v>
      </c>
      <c r="C176" s="1354">
        <f t="shared" ref="C176:I176" si="4">C170*C168</f>
        <v>0</v>
      </c>
      <c r="D176" s="1354">
        <f t="shared" si="4"/>
        <v>0</v>
      </c>
      <c r="E176" s="1354">
        <f t="shared" si="4"/>
        <v>0</v>
      </c>
      <c r="F176" s="1354">
        <f t="shared" si="4"/>
        <v>0</v>
      </c>
      <c r="G176" s="1354">
        <f t="shared" si="4"/>
        <v>0</v>
      </c>
      <c r="H176" s="1354">
        <f t="shared" si="4"/>
        <v>0</v>
      </c>
      <c r="I176" s="1354">
        <f t="shared" si="4"/>
        <v>0</v>
      </c>
      <c r="J176" s="1239"/>
      <c r="K176" s="1235"/>
      <c r="L176" s="1355"/>
      <c r="M176" s="1355"/>
      <c r="N176" s="217"/>
      <c r="O176" s="193"/>
      <c r="P176" s="190"/>
      <c r="Q176" s="190"/>
      <c r="R176" s="217"/>
      <c r="S176" s="217"/>
      <c r="T176" s="192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</row>
    <row r="177" spans="1:58" ht="15" x14ac:dyDescent="0.25">
      <c r="A177" s="130"/>
      <c r="B177" s="1348" t="s">
        <v>584</v>
      </c>
      <c r="C177" s="1354">
        <f t="shared" ref="C177:I177" si="5">C171*C168</f>
        <v>0.16915000000000002</v>
      </c>
      <c r="D177" s="1354">
        <f t="shared" si="5"/>
        <v>0.16915000000000002</v>
      </c>
      <c r="E177" s="1354">
        <f t="shared" si="5"/>
        <v>0.16915000000000002</v>
      </c>
      <c r="F177" s="1354">
        <f t="shared" si="5"/>
        <v>8.4575000000000011E-2</v>
      </c>
      <c r="G177" s="1354">
        <f t="shared" si="5"/>
        <v>0</v>
      </c>
      <c r="H177" s="1354">
        <f t="shared" si="5"/>
        <v>0.11163900000000002</v>
      </c>
      <c r="I177" s="1354">
        <f t="shared" si="5"/>
        <v>0.33830000000000005</v>
      </c>
      <c r="J177" s="1355"/>
      <c r="K177" s="1355"/>
      <c r="L177" s="1355"/>
      <c r="M177" s="1355"/>
      <c r="N177" s="217"/>
      <c r="O177" s="193"/>
      <c r="P177" s="192"/>
      <c r="Q177" s="192"/>
      <c r="R177" s="217"/>
      <c r="S177" s="217"/>
      <c r="T177" s="192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</row>
    <row r="178" spans="1:58" ht="15" x14ac:dyDescent="0.25">
      <c r="A178" s="130"/>
      <c r="B178" s="1348" t="s">
        <v>775</v>
      </c>
      <c r="C178" s="1354">
        <f t="shared" ref="C178:I178" si="6">C172*C168</f>
        <v>0.10767499999999999</v>
      </c>
      <c r="D178" s="1354">
        <f t="shared" si="6"/>
        <v>0.10767499999999999</v>
      </c>
      <c r="E178" s="1354">
        <f t="shared" si="6"/>
        <v>0.10767499999999999</v>
      </c>
      <c r="F178" s="1354">
        <f t="shared" si="6"/>
        <v>5.3837499999999996E-2</v>
      </c>
      <c r="G178" s="1354">
        <f t="shared" si="6"/>
        <v>0</v>
      </c>
      <c r="H178" s="1354">
        <f t="shared" si="6"/>
        <v>7.1065500000000004E-2</v>
      </c>
      <c r="I178" s="1354">
        <f t="shared" si="6"/>
        <v>0.21534999999999999</v>
      </c>
      <c r="J178" s="1355"/>
      <c r="K178" s="1355"/>
      <c r="L178" s="1355"/>
      <c r="M178" s="1355"/>
      <c r="N178" s="217"/>
      <c r="O178" s="193"/>
      <c r="P178" s="192"/>
      <c r="Q178" s="192"/>
      <c r="R178" s="217"/>
      <c r="S178" s="217"/>
      <c r="T178" s="192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</row>
    <row r="179" spans="1:58" ht="15" x14ac:dyDescent="0.25">
      <c r="A179" s="130"/>
      <c r="B179" s="1348" t="s">
        <v>776</v>
      </c>
      <c r="C179" s="1356">
        <f t="shared" ref="C179:I179" si="7">C173*C168</f>
        <v>0.10767499999999999</v>
      </c>
      <c r="D179" s="1356">
        <f t="shared" si="7"/>
        <v>0.10767499999999999</v>
      </c>
      <c r="E179" s="1356">
        <f t="shared" si="7"/>
        <v>0.10767499999999999</v>
      </c>
      <c r="F179" s="1356">
        <f t="shared" si="7"/>
        <v>5.3837499999999996E-2</v>
      </c>
      <c r="G179" s="1356">
        <f t="shared" si="7"/>
        <v>0</v>
      </c>
      <c r="H179" s="1356">
        <f t="shared" si="7"/>
        <v>7.1065500000000004E-2</v>
      </c>
      <c r="I179" s="1356">
        <f t="shared" si="7"/>
        <v>0.21534999999999999</v>
      </c>
      <c r="J179" s="1355"/>
      <c r="K179" s="1355"/>
      <c r="L179" s="1355"/>
      <c r="M179" s="1355"/>
      <c r="N179" s="217"/>
      <c r="O179" s="193"/>
      <c r="P179" s="192"/>
      <c r="Q179" s="192"/>
      <c r="R179" s="217"/>
      <c r="S179" s="217"/>
      <c r="T179" s="192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</row>
    <row r="180" spans="1:58" ht="15" x14ac:dyDescent="0.25">
      <c r="A180" s="130"/>
      <c r="B180" s="1348" t="s">
        <v>596</v>
      </c>
      <c r="C180" s="1356">
        <f t="shared" ref="C180:I180" si="8">C174*C168</f>
        <v>0.5</v>
      </c>
      <c r="D180" s="1356">
        <f t="shared" si="8"/>
        <v>0.5</v>
      </c>
      <c r="E180" s="1356">
        <f t="shared" si="8"/>
        <v>0.5</v>
      </c>
      <c r="F180" s="1356">
        <f t="shared" si="8"/>
        <v>0.25</v>
      </c>
      <c r="G180" s="1356">
        <f t="shared" si="8"/>
        <v>0</v>
      </c>
      <c r="H180" s="1356">
        <f t="shared" si="8"/>
        <v>0.33</v>
      </c>
      <c r="I180" s="1356">
        <f t="shared" si="8"/>
        <v>1</v>
      </c>
      <c r="J180" s="1355"/>
      <c r="K180" s="1239"/>
      <c r="L180" s="1239"/>
      <c r="M180" s="1239"/>
      <c r="N180" s="193"/>
      <c r="O180" s="193"/>
      <c r="P180" s="192"/>
      <c r="Q180" s="192"/>
      <c r="R180" s="217"/>
      <c r="S180" s="217"/>
      <c r="T180" s="192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</row>
    <row r="181" spans="1:58" s="130" customFormat="1" ht="15" x14ac:dyDescent="0.25">
      <c r="B181" s="1357"/>
      <c r="C181" s="1358"/>
      <c r="D181" s="1355"/>
      <c r="E181" s="1355"/>
      <c r="F181" s="1355"/>
      <c r="G181" s="1355"/>
      <c r="H181" s="1355"/>
      <c r="I181" s="1355"/>
      <c r="J181" s="1355"/>
      <c r="K181" s="1355"/>
      <c r="L181" s="1355"/>
      <c r="M181" s="1355"/>
      <c r="N181" s="217"/>
      <c r="O181" s="217"/>
      <c r="P181" s="217"/>
      <c r="Q181" s="217"/>
      <c r="R181" s="217"/>
      <c r="S181" s="217"/>
      <c r="T181" s="217"/>
      <c r="U181" s="192"/>
      <c r="V181" s="192"/>
      <c r="W181" s="192"/>
      <c r="X181" s="192"/>
      <c r="Y181" s="192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89"/>
      <c r="AK181" s="189"/>
      <c r="AL181" s="189"/>
      <c r="AM181" s="189"/>
      <c r="AN181" s="92"/>
      <c r="AO181" s="92"/>
      <c r="AP181" s="92"/>
      <c r="AQ181" s="92"/>
      <c r="AR181" s="92"/>
      <c r="AS181" s="92"/>
      <c r="AT181" s="92"/>
      <c r="AU181" s="92"/>
    </row>
    <row r="182" spans="1:58" ht="15" x14ac:dyDescent="0.25">
      <c r="A182" s="130"/>
      <c r="B182" s="1343" t="s">
        <v>294</v>
      </c>
      <c r="C182" s="1344">
        <v>12</v>
      </c>
      <c r="D182" s="1239"/>
      <c r="E182" s="1239"/>
      <c r="F182" s="1239"/>
      <c r="G182" s="1239"/>
      <c r="H182" s="1239"/>
      <c r="I182" s="1239"/>
      <c r="J182" s="1239"/>
      <c r="K182" s="1239"/>
      <c r="L182" s="1239"/>
      <c r="M182" s="1239"/>
      <c r="N182" s="193"/>
      <c r="O182" s="193"/>
      <c r="P182" s="190"/>
      <c r="Q182" s="190"/>
      <c r="R182" s="190"/>
      <c r="S182" s="190"/>
      <c r="T182" s="190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</row>
    <row r="183" spans="1:58" s="152" customFormat="1" ht="30" x14ac:dyDescent="0.2">
      <c r="A183" s="143"/>
      <c r="B183" s="1345" t="s">
        <v>293</v>
      </c>
      <c r="C183" s="1346" t="s">
        <v>41</v>
      </c>
      <c r="D183" s="1346" t="s">
        <v>42</v>
      </c>
      <c r="E183" s="1346" t="s">
        <v>43</v>
      </c>
      <c r="F183" s="1346" t="s">
        <v>46</v>
      </c>
      <c r="G183" s="1346" t="s">
        <v>44</v>
      </c>
      <c r="H183" s="1346" t="s">
        <v>84</v>
      </c>
      <c r="I183" s="1346" t="s">
        <v>116</v>
      </c>
      <c r="J183" s="1346" t="s">
        <v>117</v>
      </c>
      <c r="K183" s="1359"/>
      <c r="L183" s="1360"/>
      <c r="M183" s="1360"/>
      <c r="N183" s="213"/>
      <c r="O183" s="214"/>
      <c r="P183" s="214"/>
      <c r="Q183" s="214"/>
      <c r="R183" s="213"/>
      <c r="S183" s="213"/>
      <c r="T183" s="213"/>
      <c r="U183" s="214"/>
      <c r="V183" s="214"/>
      <c r="W183" s="214"/>
      <c r="X183" s="214"/>
      <c r="Y183" s="214"/>
      <c r="Z183" s="214"/>
      <c r="AA183" s="214"/>
      <c r="AB183" s="214"/>
      <c r="AC183" s="214"/>
      <c r="AD183" s="214"/>
      <c r="AE183" s="214"/>
      <c r="AF183" s="214"/>
      <c r="AG183" s="214"/>
      <c r="AH183" s="214"/>
      <c r="AI183" s="214"/>
      <c r="AJ183" s="212"/>
      <c r="AK183" s="212"/>
      <c r="AL183" s="212"/>
      <c r="AM183" s="212"/>
      <c r="AN183" s="144"/>
      <c r="AO183" s="144"/>
      <c r="AP183" s="144"/>
      <c r="AQ183" s="144"/>
      <c r="AR183" s="144"/>
      <c r="AS183" s="144"/>
      <c r="AT183" s="144"/>
      <c r="AU183" s="144"/>
      <c r="AV183" s="144"/>
      <c r="AW183" s="144"/>
      <c r="AX183" s="144"/>
      <c r="AY183" s="144"/>
      <c r="AZ183" s="144"/>
      <c r="BA183" s="144"/>
      <c r="BB183" s="144"/>
      <c r="BC183" s="144"/>
      <c r="BD183" s="144"/>
      <c r="BE183" s="144"/>
      <c r="BF183" s="144"/>
    </row>
    <row r="184" spans="1:58" s="153" customFormat="1" ht="15" x14ac:dyDescent="0.25">
      <c r="A184" s="145"/>
      <c r="B184" s="1348" t="s">
        <v>295</v>
      </c>
      <c r="C184" s="1349">
        <v>4</v>
      </c>
      <c r="D184" s="1349">
        <v>4</v>
      </c>
      <c r="E184" s="1349">
        <v>4</v>
      </c>
      <c r="F184" s="1349">
        <v>2</v>
      </c>
      <c r="G184" s="1349">
        <v>2</v>
      </c>
      <c r="H184" s="1349">
        <v>1</v>
      </c>
      <c r="I184" s="1349">
        <v>6</v>
      </c>
      <c r="J184" s="1349">
        <v>12</v>
      </c>
      <c r="K184" s="1235"/>
      <c r="L184" s="1351"/>
      <c r="M184" s="1351"/>
      <c r="N184" s="216"/>
      <c r="O184" s="192"/>
      <c r="P184" s="192"/>
      <c r="Q184" s="192"/>
      <c r="R184" s="215"/>
      <c r="S184" s="215"/>
      <c r="T184" s="215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89"/>
      <c r="AK184" s="189"/>
      <c r="AL184" s="189"/>
      <c r="AM184" s="189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</row>
    <row r="185" spans="1:58" s="153" customFormat="1" ht="15" x14ac:dyDescent="0.25">
      <c r="A185" s="145"/>
      <c r="B185" s="1348" t="s">
        <v>296</v>
      </c>
      <c r="C185" s="1349">
        <f t="shared" ref="C185:G185" si="9">C184/$C$165</f>
        <v>0.33333333333333331</v>
      </c>
      <c r="D185" s="1349">
        <f>D184/$C$165</f>
        <v>0.33333333333333331</v>
      </c>
      <c r="E185" s="1349">
        <f t="shared" si="9"/>
        <v>0.33333333333333331</v>
      </c>
      <c r="F185" s="1349">
        <f t="shared" si="9"/>
        <v>0.16666666666666666</v>
      </c>
      <c r="G185" s="1349">
        <f t="shared" si="9"/>
        <v>0.16666666666666666</v>
      </c>
      <c r="H185" s="1349">
        <f>H184/$C$165</f>
        <v>8.3333333333333329E-2</v>
      </c>
      <c r="I185" s="1349">
        <f>I184/$C$165</f>
        <v>0.5</v>
      </c>
      <c r="J185" s="1349">
        <f>J184/$C$165</f>
        <v>1</v>
      </c>
      <c r="K185" s="1235"/>
      <c r="L185" s="1351"/>
      <c r="M185" s="1351"/>
      <c r="N185" s="216"/>
      <c r="O185" s="192"/>
      <c r="P185" s="192"/>
      <c r="Q185" s="192"/>
      <c r="R185" s="216"/>
      <c r="S185" s="216"/>
      <c r="T185" s="216"/>
      <c r="U185" s="192"/>
      <c r="V185" s="192"/>
      <c r="W185" s="192"/>
      <c r="X185" s="192"/>
      <c r="Y185" s="192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89"/>
      <c r="AK185" s="189"/>
      <c r="AL185" s="189"/>
      <c r="AM185" s="189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</row>
    <row r="186" spans="1:58" ht="15" x14ac:dyDescent="0.25">
      <c r="A186" s="130"/>
      <c r="B186" s="1348" t="s">
        <v>578</v>
      </c>
      <c r="C186" s="1354">
        <f>$C$52</f>
        <v>0.3</v>
      </c>
      <c r="D186" s="1354">
        <f t="shared" ref="D186:J186" si="10">$C$52</f>
        <v>0.3</v>
      </c>
      <c r="E186" s="1354">
        <f t="shared" si="10"/>
        <v>0.3</v>
      </c>
      <c r="F186" s="1354">
        <f t="shared" si="10"/>
        <v>0.3</v>
      </c>
      <c r="G186" s="1354">
        <f t="shared" si="10"/>
        <v>0.3</v>
      </c>
      <c r="H186" s="1354">
        <f t="shared" si="10"/>
        <v>0.3</v>
      </c>
      <c r="I186" s="1354">
        <f t="shared" si="10"/>
        <v>0.3</v>
      </c>
      <c r="J186" s="1354">
        <f t="shared" si="10"/>
        <v>0.3</v>
      </c>
      <c r="K186" s="1239"/>
      <c r="L186" s="1235"/>
      <c r="M186" s="1235"/>
      <c r="N186" s="190"/>
      <c r="O186" s="189"/>
      <c r="P186" s="192"/>
      <c r="Q186" s="192"/>
      <c r="R186" s="190"/>
      <c r="S186" s="190"/>
      <c r="T186" s="190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</row>
    <row r="187" spans="1:58" ht="15" x14ac:dyDescent="0.25">
      <c r="A187" s="130"/>
      <c r="B187" s="1348" t="s">
        <v>579</v>
      </c>
      <c r="C187" s="1354">
        <f>$D$52</f>
        <v>0</v>
      </c>
      <c r="D187" s="1354">
        <f t="shared" ref="D187" si="11">$D$52</f>
        <v>0</v>
      </c>
      <c r="E187" s="1354">
        <f t="shared" ref="E187:J187" si="12">$D$52</f>
        <v>0</v>
      </c>
      <c r="F187" s="1354">
        <f t="shared" si="12"/>
        <v>0</v>
      </c>
      <c r="G187" s="1354">
        <f t="shared" si="12"/>
        <v>0</v>
      </c>
      <c r="H187" s="1354">
        <f t="shared" si="12"/>
        <v>0</v>
      </c>
      <c r="I187" s="1354">
        <f t="shared" si="12"/>
        <v>0</v>
      </c>
      <c r="J187" s="1354">
        <f t="shared" si="12"/>
        <v>0</v>
      </c>
      <c r="K187" s="1239"/>
      <c r="L187" s="1235"/>
      <c r="M187" s="1235"/>
      <c r="N187" s="190"/>
      <c r="O187" s="189"/>
      <c r="P187" s="192"/>
      <c r="Q187" s="192"/>
      <c r="R187" s="190"/>
      <c r="S187" s="190"/>
      <c r="T187" s="190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</row>
    <row r="188" spans="1:58" ht="15" x14ac:dyDescent="0.25">
      <c r="A188" s="130"/>
      <c r="B188" s="1348" t="s">
        <v>585</v>
      </c>
      <c r="C188" s="1354">
        <f>$E$52</f>
        <v>0.2</v>
      </c>
      <c r="D188" s="1354">
        <f t="shared" ref="D188" si="13">$E$52</f>
        <v>0.2</v>
      </c>
      <c r="E188" s="1354">
        <f t="shared" ref="E188:J188" si="14">$E$52</f>
        <v>0.2</v>
      </c>
      <c r="F188" s="1354">
        <f t="shared" si="14"/>
        <v>0.2</v>
      </c>
      <c r="G188" s="1354">
        <f t="shared" si="14"/>
        <v>0.2</v>
      </c>
      <c r="H188" s="1354">
        <f t="shared" si="14"/>
        <v>0.2</v>
      </c>
      <c r="I188" s="1354">
        <f t="shared" si="14"/>
        <v>0.2</v>
      </c>
      <c r="J188" s="1354">
        <f t="shared" si="14"/>
        <v>0.2</v>
      </c>
      <c r="K188" s="1239"/>
      <c r="L188" s="1235"/>
      <c r="M188" s="1235"/>
      <c r="N188" s="190"/>
      <c r="O188" s="189"/>
      <c r="P188" s="192"/>
      <c r="Q188" s="192"/>
      <c r="R188" s="190"/>
      <c r="S188" s="190"/>
      <c r="T188" s="190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</row>
    <row r="189" spans="1:58" ht="15" x14ac:dyDescent="0.25">
      <c r="A189" s="130"/>
      <c r="B189" s="1348" t="s">
        <v>649</v>
      </c>
      <c r="C189" s="1354">
        <f>$G$52</f>
        <v>0.1</v>
      </c>
      <c r="D189" s="1354">
        <f t="shared" ref="D189" si="15">$G$52</f>
        <v>0.1</v>
      </c>
      <c r="E189" s="1354">
        <f t="shared" ref="E189:J189" si="16">$G$52</f>
        <v>0.1</v>
      </c>
      <c r="F189" s="1354">
        <f t="shared" si="16"/>
        <v>0.1</v>
      </c>
      <c r="G189" s="1354">
        <f t="shared" si="16"/>
        <v>0.1</v>
      </c>
      <c r="H189" s="1354">
        <f t="shared" si="16"/>
        <v>0.1</v>
      </c>
      <c r="I189" s="1354">
        <f t="shared" si="16"/>
        <v>0.1</v>
      </c>
      <c r="J189" s="1354">
        <f t="shared" si="16"/>
        <v>0.1</v>
      </c>
      <c r="K189" s="1338"/>
      <c r="L189" s="1239"/>
      <c r="M189" s="1239"/>
      <c r="N189" s="193"/>
      <c r="O189" s="189"/>
      <c r="P189" s="189"/>
      <c r="Q189" s="189"/>
      <c r="R189" s="193"/>
      <c r="S189" s="193"/>
      <c r="T189" s="193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</row>
    <row r="190" spans="1:58" ht="15" x14ac:dyDescent="0.25">
      <c r="A190" s="130"/>
      <c r="B190" s="1348" t="s">
        <v>597</v>
      </c>
      <c r="C190" s="1354">
        <f>$H$52</f>
        <v>0.5</v>
      </c>
      <c r="D190" s="1354">
        <f>$H$52</f>
        <v>0.5</v>
      </c>
      <c r="E190" s="1354">
        <f>$H$52</f>
        <v>0.5</v>
      </c>
      <c r="F190" s="1354">
        <f>$H$52</f>
        <v>0.5</v>
      </c>
      <c r="G190" s="1354">
        <f>$H$52</f>
        <v>0.5</v>
      </c>
      <c r="H190" s="1354">
        <f t="shared" ref="H190" si="17">$H$52</f>
        <v>0.5</v>
      </c>
      <c r="I190" s="1354">
        <f>$H$52</f>
        <v>0.5</v>
      </c>
      <c r="J190" s="1354">
        <f>$H$52</f>
        <v>0.5</v>
      </c>
      <c r="K190" s="1338"/>
      <c r="L190" s="1239"/>
      <c r="M190" s="1239"/>
      <c r="N190" s="193"/>
      <c r="O190" s="189"/>
      <c r="P190" s="189"/>
      <c r="Q190" s="189"/>
      <c r="R190" s="193"/>
      <c r="S190" s="193"/>
      <c r="T190" s="193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</row>
    <row r="191" spans="1:58" ht="15" x14ac:dyDescent="0.25">
      <c r="A191" s="130"/>
      <c r="B191" s="1348" t="s">
        <v>576</v>
      </c>
      <c r="C191" s="1354">
        <f t="shared" ref="C191:H191" si="18">C186*C185</f>
        <v>9.9999999999999992E-2</v>
      </c>
      <c r="D191" s="1354">
        <f t="shared" si="18"/>
        <v>9.9999999999999992E-2</v>
      </c>
      <c r="E191" s="1354">
        <f t="shared" si="18"/>
        <v>9.9999999999999992E-2</v>
      </c>
      <c r="F191" s="1354">
        <f t="shared" si="18"/>
        <v>4.9999999999999996E-2</v>
      </c>
      <c r="G191" s="1354">
        <f t="shared" si="18"/>
        <v>4.9999999999999996E-2</v>
      </c>
      <c r="H191" s="1354">
        <f t="shared" si="18"/>
        <v>2.4999999999999998E-2</v>
      </c>
      <c r="I191" s="1354">
        <f>I186*I185</f>
        <v>0.15</v>
      </c>
      <c r="J191" s="1354">
        <f>J186*J185</f>
        <v>0.3</v>
      </c>
      <c r="K191" s="1239"/>
      <c r="L191" s="1355"/>
      <c r="M191" s="1355"/>
      <c r="N191" s="217"/>
      <c r="O191" s="189"/>
      <c r="P191" s="192"/>
      <c r="Q191" s="192"/>
      <c r="R191" s="217"/>
      <c r="S191" s="217"/>
      <c r="T191" s="217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</row>
    <row r="192" spans="1:58" ht="15" x14ac:dyDescent="0.25">
      <c r="A192" s="130"/>
      <c r="B192" s="1348" t="s">
        <v>577</v>
      </c>
      <c r="C192" s="1354">
        <f t="shared" ref="C192:H192" si="19">C187*C185</f>
        <v>0</v>
      </c>
      <c r="D192" s="1354">
        <f t="shared" si="19"/>
        <v>0</v>
      </c>
      <c r="E192" s="1354">
        <f t="shared" si="19"/>
        <v>0</v>
      </c>
      <c r="F192" s="1354">
        <f t="shared" si="19"/>
        <v>0</v>
      </c>
      <c r="G192" s="1354">
        <f t="shared" si="19"/>
        <v>0</v>
      </c>
      <c r="H192" s="1354">
        <f t="shared" si="19"/>
        <v>0</v>
      </c>
      <c r="I192" s="1354">
        <f>I187*I185</f>
        <v>0</v>
      </c>
      <c r="J192" s="1354">
        <f>J187*J185</f>
        <v>0</v>
      </c>
      <c r="K192" s="1239"/>
      <c r="L192" s="1355"/>
      <c r="M192" s="1355"/>
      <c r="N192" s="217"/>
      <c r="O192" s="189"/>
      <c r="P192" s="192"/>
      <c r="Q192" s="192"/>
      <c r="R192" s="217"/>
      <c r="S192" s="217"/>
      <c r="T192" s="217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</row>
    <row r="193" spans="1:58" ht="15" x14ac:dyDescent="0.25">
      <c r="A193" s="130"/>
      <c r="B193" s="1348" t="s">
        <v>584</v>
      </c>
      <c r="C193" s="1354">
        <f>C188*C185</f>
        <v>6.6666666666666666E-2</v>
      </c>
      <c r="D193" s="1354">
        <f t="shared" ref="D193:H193" si="20">D188*D185</f>
        <v>6.6666666666666666E-2</v>
      </c>
      <c r="E193" s="1354">
        <f t="shared" si="20"/>
        <v>6.6666666666666666E-2</v>
      </c>
      <c r="F193" s="1354">
        <f t="shared" si="20"/>
        <v>3.3333333333333333E-2</v>
      </c>
      <c r="G193" s="1354">
        <f t="shared" si="20"/>
        <v>3.3333333333333333E-2</v>
      </c>
      <c r="H193" s="1354">
        <f t="shared" si="20"/>
        <v>1.6666666666666666E-2</v>
      </c>
      <c r="I193" s="1354">
        <f>I188*I185</f>
        <v>0.1</v>
      </c>
      <c r="J193" s="1354">
        <f>J188*J185</f>
        <v>0.2</v>
      </c>
      <c r="K193" s="1239"/>
      <c r="L193" s="1355"/>
      <c r="M193" s="1355"/>
      <c r="N193" s="217"/>
      <c r="O193" s="189"/>
      <c r="P193" s="192"/>
      <c r="Q193" s="192"/>
      <c r="R193" s="217"/>
      <c r="S193" s="217"/>
      <c r="T193" s="217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</row>
    <row r="194" spans="1:58" ht="15" x14ac:dyDescent="0.25">
      <c r="A194" s="130"/>
      <c r="B194" s="1348" t="s">
        <v>646</v>
      </c>
      <c r="C194" s="1356">
        <f t="shared" ref="C194:H194" si="21">C189*C185</f>
        <v>3.3333333333333333E-2</v>
      </c>
      <c r="D194" s="1356">
        <f t="shared" si="21"/>
        <v>3.3333333333333333E-2</v>
      </c>
      <c r="E194" s="1356">
        <f t="shared" si="21"/>
        <v>3.3333333333333333E-2</v>
      </c>
      <c r="F194" s="1356">
        <f t="shared" si="21"/>
        <v>1.6666666666666666E-2</v>
      </c>
      <c r="G194" s="1356">
        <f t="shared" si="21"/>
        <v>1.6666666666666666E-2</v>
      </c>
      <c r="H194" s="1356">
        <f t="shared" si="21"/>
        <v>8.3333333333333332E-3</v>
      </c>
      <c r="I194" s="1356">
        <f>I189*I185</f>
        <v>0.05</v>
      </c>
      <c r="J194" s="1356">
        <f>J189*J185</f>
        <v>0.1</v>
      </c>
      <c r="K194" s="1239"/>
      <c r="L194" s="1355"/>
      <c r="M194" s="1355"/>
      <c r="N194" s="217"/>
      <c r="O194" s="189"/>
      <c r="P194" s="192"/>
      <c r="Q194" s="192"/>
      <c r="R194" s="217"/>
      <c r="S194" s="217"/>
      <c r="T194" s="217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</row>
    <row r="195" spans="1:58" ht="15" x14ac:dyDescent="0.25">
      <c r="A195" s="130"/>
      <c r="B195" s="1348" t="s">
        <v>596</v>
      </c>
      <c r="C195" s="1356">
        <f t="shared" ref="C195:H195" si="22">C190*C185</f>
        <v>0.16666666666666666</v>
      </c>
      <c r="D195" s="1356">
        <f t="shared" si="22"/>
        <v>0.16666666666666666</v>
      </c>
      <c r="E195" s="1356">
        <f t="shared" si="22"/>
        <v>0.16666666666666666</v>
      </c>
      <c r="F195" s="1356">
        <f t="shared" si="22"/>
        <v>8.3333333333333329E-2</v>
      </c>
      <c r="G195" s="1356">
        <f t="shared" si="22"/>
        <v>8.3333333333333329E-2</v>
      </c>
      <c r="H195" s="1356">
        <f t="shared" si="22"/>
        <v>4.1666666666666664E-2</v>
      </c>
      <c r="I195" s="1356">
        <f>I190*I185</f>
        <v>0.25</v>
      </c>
      <c r="J195" s="1356">
        <f>J190*J185</f>
        <v>0.5</v>
      </c>
      <c r="K195" s="1239"/>
      <c r="L195" s="1355"/>
      <c r="M195" s="1355"/>
      <c r="N195" s="217"/>
      <c r="O195" s="189"/>
      <c r="P195" s="192"/>
      <c r="Q195" s="192"/>
      <c r="R195" s="217"/>
      <c r="S195" s="217"/>
      <c r="T195" s="217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</row>
    <row r="196" spans="1:58" s="130" customFormat="1" ht="15" x14ac:dyDescent="0.25">
      <c r="B196" s="1357"/>
      <c r="C196" s="1358"/>
      <c r="D196" s="1355"/>
      <c r="E196" s="1355"/>
      <c r="F196" s="1355"/>
      <c r="G196" s="1355"/>
      <c r="H196" s="1355"/>
      <c r="I196" s="1355"/>
      <c r="J196" s="1355"/>
      <c r="K196" s="1355"/>
      <c r="L196" s="1355"/>
      <c r="M196" s="1355"/>
      <c r="N196" s="217"/>
      <c r="O196" s="217"/>
      <c r="P196" s="192"/>
      <c r="Q196" s="192"/>
      <c r="R196" s="217"/>
      <c r="S196" s="217"/>
      <c r="T196" s="217"/>
      <c r="U196" s="192"/>
      <c r="V196" s="192"/>
      <c r="W196" s="192"/>
      <c r="X196" s="192"/>
      <c r="Y196" s="192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89"/>
      <c r="AK196" s="189"/>
      <c r="AL196" s="189"/>
      <c r="AM196" s="189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</row>
    <row r="197" spans="1:58" ht="15" x14ac:dyDescent="0.25">
      <c r="A197" s="130"/>
      <c r="B197" s="1343" t="s">
        <v>294</v>
      </c>
      <c r="C197" s="1344">
        <v>12</v>
      </c>
      <c r="D197" s="1239"/>
      <c r="E197" s="1239"/>
      <c r="F197" s="1239"/>
      <c r="G197" s="1239"/>
      <c r="H197" s="1239"/>
      <c r="I197" s="1239"/>
      <c r="J197" s="1239"/>
      <c r="K197" s="1239"/>
      <c r="L197" s="1239"/>
      <c r="M197" s="1239"/>
      <c r="N197" s="193"/>
      <c r="O197" s="193"/>
      <c r="P197" s="192"/>
      <c r="Q197" s="192"/>
      <c r="R197" s="217"/>
      <c r="S197" s="193"/>
      <c r="T197" s="193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</row>
    <row r="198" spans="1:58" s="152" customFormat="1" ht="30" x14ac:dyDescent="0.2">
      <c r="A198" s="143"/>
      <c r="B198" s="1345" t="s">
        <v>293</v>
      </c>
      <c r="C198" s="1346" t="s">
        <v>41</v>
      </c>
      <c r="D198" s="1346" t="s">
        <v>42</v>
      </c>
      <c r="E198" s="1346" t="s">
        <v>43</v>
      </c>
      <c r="F198" s="1346" t="s">
        <v>46</v>
      </c>
      <c r="G198" s="1346" t="s">
        <v>84</v>
      </c>
      <c r="H198" s="1346" t="s">
        <v>47</v>
      </c>
      <c r="I198" s="1346" t="s">
        <v>746</v>
      </c>
      <c r="J198" s="1346" t="s">
        <v>117</v>
      </c>
      <c r="K198" s="1346" t="s">
        <v>745</v>
      </c>
      <c r="L198" s="1346" t="s">
        <v>906</v>
      </c>
      <c r="M198" s="1346" t="s">
        <v>747</v>
      </c>
      <c r="N198" s="214"/>
      <c r="O198" s="214"/>
      <c r="P198" s="192"/>
      <c r="Q198" s="192"/>
      <c r="R198" s="217"/>
      <c r="S198" s="213"/>
      <c r="T198" s="213"/>
      <c r="U198" s="214"/>
      <c r="V198" s="214"/>
      <c r="W198" s="214"/>
      <c r="X198" s="214"/>
      <c r="Y198" s="214"/>
      <c r="Z198" s="214"/>
      <c r="AA198" s="214"/>
      <c r="AB198" s="214"/>
      <c r="AC198" s="214"/>
      <c r="AD198" s="214"/>
      <c r="AE198" s="214"/>
      <c r="AF198" s="214"/>
      <c r="AG198" s="214"/>
      <c r="AH198" s="214"/>
      <c r="AI198" s="214"/>
      <c r="AJ198" s="212"/>
      <c r="AK198" s="212"/>
      <c r="AL198" s="212"/>
      <c r="AM198" s="212"/>
      <c r="AN198" s="144"/>
      <c r="AO198" s="144"/>
      <c r="AP198" s="144"/>
      <c r="AQ198" s="144"/>
      <c r="AR198" s="144"/>
      <c r="AS198" s="144"/>
      <c r="AT198" s="144"/>
      <c r="AU198" s="144"/>
      <c r="AV198" s="144"/>
      <c r="AW198" s="144"/>
      <c r="AX198" s="144"/>
      <c r="AY198" s="144"/>
      <c r="AZ198" s="144"/>
      <c r="BA198" s="144"/>
      <c r="BB198" s="144"/>
      <c r="BC198" s="144"/>
      <c r="BD198" s="144"/>
      <c r="BE198" s="144"/>
      <c r="BF198" s="144"/>
    </row>
    <row r="199" spans="1:58" s="153" customFormat="1" ht="15" x14ac:dyDescent="0.25">
      <c r="A199" s="145"/>
      <c r="B199" s="1348" t="s">
        <v>295</v>
      </c>
      <c r="C199" s="1349">
        <v>6</v>
      </c>
      <c r="D199" s="1349">
        <v>6</v>
      </c>
      <c r="E199" s="1349">
        <v>6</v>
      </c>
      <c r="F199" s="1349">
        <v>3</v>
      </c>
      <c r="G199" s="1349">
        <v>3</v>
      </c>
      <c r="H199" s="1349">
        <v>24</v>
      </c>
      <c r="I199" s="1349">
        <v>6</v>
      </c>
      <c r="J199" s="1349">
        <v>12</v>
      </c>
      <c r="K199" s="1349"/>
      <c r="L199" s="1349">
        <v>3</v>
      </c>
      <c r="M199" s="1349"/>
      <c r="N199" s="192"/>
      <c r="O199" s="192"/>
      <c r="P199" s="192"/>
      <c r="Q199" s="192"/>
      <c r="R199" s="217"/>
      <c r="S199" s="215"/>
      <c r="T199" s="215"/>
      <c r="U199" s="192"/>
      <c r="V199" s="192"/>
      <c r="W199" s="192"/>
      <c r="X199" s="192"/>
      <c r="Y199" s="192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89"/>
      <c r="AK199" s="189"/>
      <c r="AL199" s="189"/>
      <c r="AM199" s="189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</row>
    <row r="200" spans="1:58" s="153" customFormat="1" ht="15" x14ac:dyDescent="0.25">
      <c r="A200" s="145"/>
      <c r="B200" s="1348" t="s">
        <v>296</v>
      </c>
      <c r="C200" s="1349">
        <f t="shared" ref="C200:L200" si="23">C199/$C$165</f>
        <v>0.5</v>
      </c>
      <c r="D200" s="1349">
        <f t="shared" si="23"/>
        <v>0.5</v>
      </c>
      <c r="E200" s="1349">
        <f t="shared" si="23"/>
        <v>0.5</v>
      </c>
      <c r="F200" s="1349">
        <f t="shared" si="23"/>
        <v>0.25</v>
      </c>
      <c r="G200" s="1349">
        <f t="shared" si="23"/>
        <v>0.25</v>
      </c>
      <c r="H200" s="1349">
        <f t="shared" si="23"/>
        <v>2</v>
      </c>
      <c r="I200" s="1349">
        <f t="shared" si="23"/>
        <v>0.5</v>
      </c>
      <c r="J200" s="1349">
        <f t="shared" si="23"/>
        <v>1</v>
      </c>
      <c r="K200" s="1349">
        <f t="shared" si="23"/>
        <v>0</v>
      </c>
      <c r="L200" s="1349">
        <f t="shared" si="23"/>
        <v>0.25</v>
      </c>
      <c r="M200" s="1349">
        <f>M199/$C$165</f>
        <v>0</v>
      </c>
      <c r="N200" s="192"/>
      <c r="O200" s="192"/>
      <c r="P200" s="192"/>
      <c r="Q200" s="192"/>
      <c r="R200" s="217"/>
      <c r="S200" s="216"/>
      <c r="T200" s="216"/>
      <c r="U200" s="192"/>
      <c r="V200" s="192"/>
      <c r="W200" s="192"/>
      <c r="X200" s="192"/>
      <c r="Y200" s="192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89"/>
      <c r="AK200" s="189"/>
      <c r="AL200" s="189"/>
      <c r="AM200" s="189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</row>
    <row r="201" spans="1:58" ht="15" x14ac:dyDescent="0.25">
      <c r="A201" s="130"/>
      <c r="B201" s="1348" t="s">
        <v>580</v>
      </c>
      <c r="C201" s="1354">
        <f t="shared" ref="C201:H201" si="24">$C$26+$D$26+$E$27+$F$26+$G$26+$G$27+$E$26+$F$27+$D$27+$C$27</f>
        <v>1.5</v>
      </c>
      <c r="D201" s="1354">
        <f t="shared" si="24"/>
        <v>1.5</v>
      </c>
      <c r="E201" s="1354">
        <f t="shared" si="24"/>
        <v>1.5</v>
      </c>
      <c r="F201" s="1354">
        <f t="shared" si="24"/>
        <v>1.5</v>
      </c>
      <c r="G201" s="1354">
        <f t="shared" si="24"/>
        <v>1.5</v>
      </c>
      <c r="H201" s="1354">
        <f t="shared" si="24"/>
        <v>1.5</v>
      </c>
      <c r="I201" s="1354">
        <f>C26+D26+F26</f>
        <v>1.5</v>
      </c>
      <c r="J201" s="1354">
        <f>I201</f>
        <v>1.5</v>
      </c>
      <c r="K201" s="1361"/>
      <c r="L201" s="1354">
        <f>$C$26+$D$26+$E$27+$F$26+$G$26+$G$27+$E$26+$F$27+$D$27+$C$27</f>
        <v>1.5</v>
      </c>
      <c r="M201" s="1361"/>
      <c r="N201" s="189"/>
      <c r="O201" s="189"/>
      <c r="P201" s="192"/>
      <c r="Q201" s="192"/>
      <c r="R201" s="217"/>
      <c r="S201" s="190"/>
      <c r="T201" s="190"/>
      <c r="U201" s="192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</row>
    <row r="202" spans="1:58" ht="15" x14ac:dyDescent="0.25">
      <c r="A202" s="130"/>
      <c r="B202" s="1348" t="s">
        <v>581</v>
      </c>
      <c r="C202" s="1354">
        <f t="shared" ref="C202:H202" si="25">$H$26+$I$26+$J$26+$K$26+$L$26+$H$27+$I$27+$J$27+$K$27+$L$27</f>
        <v>0</v>
      </c>
      <c r="D202" s="1354">
        <f t="shared" si="25"/>
        <v>0</v>
      </c>
      <c r="E202" s="1354">
        <f t="shared" si="25"/>
        <v>0</v>
      </c>
      <c r="F202" s="1354">
        <f t="shared" si="25"/>
        <v>0</v>
      </c>
      <c r="G202" s="1354">
        <f t="shared" si="25"/>
        <v>0</v>
      </c>
      <c r="H202" s="1354">
        <f t="shared" si="25"/>
        <v>0</v>
      </c>
      <c r="I202" s="1354">
        <f>H26+I26+K26</f>
        <v>0</v>
      </c>
      <c r="J202" s="1354">
        <f>I202</f>
        <v>0</v>
      </c>
      <c r="K202" s="1361"/>
      <c r="L202" s="1354">
        <f>$H$26+$I$26+$J$26+$K$26+$L$26+$H$27+$I$27+$J$27+$K$27+$L$27</f>
        <v>0</v>
      </c>
      <c r="M202" s="1361"/>
      <c r="N202" s="189"/>
      <c r="O202" s="189"/>
      <c r="P202" s="192"/>
      <c r="Q202" s="192"/>
      <c r="R202" s="217"/>
      <c r="S202" s="190"/>
      <c r="T202" s="190"/>
      <c r="U202" s="192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</row>
    <row r="203" spans="1:58" ht="15" x14ac:dyDescent="0.25">
      <c r="A203" s="130"/>
      <c r="B203" s="1348" t="s">
        <v>586</v>
      </c>
      <c r="C203" s="1354">
        <f t="shared" ref="C203:H203" si="26">$O$26+$P$26+$R$26+$O$27+$P$27+$R$27</f>
        <v>0.89999999999999991</v>
      </c>
      <c r="D203" s="1354">
        <f t="shared" si="26"/>
        <v>0.89999999999999991</v>
      </c>
      <c r="E203" s="1354">
        <f t="shared" si="26"/>
        <v>0.89999999999999991</v>
      </c>
      <c r="F203" s="1354">
        <f t="shared" si="26"/>
        <v>0.89999999999999991</v>
      </c>
      <c r="G203" s="1354">
        <f t="shared" si="26"/>
        <v>0.89999999999999991</v>
      </c>
      <c r="H203" s="1354">
        <f t="shared" si="26"/>
        <v>0.89999999999999991</v>
      </c>
      <c r="I203" s="1354">
        <f>O26+P26+R26</f>
        <v>0.89999999999999991</v>
      </c>
      <c r="J203" s="1354">
        <f>I203</f>
        <v>0.89999999999999991</v>
      </c>
      <c r="K203" s="1361"/>
      <c r="L203" s="1354">
        <f>$O$26+$P$26+$R$26+$O$27+$P$27+$R$27</f>
        <v>0.89999999999999991</v>
      </c>
      <c r="M203" s="1361"/>
      <c r="N203" s="189"/>
      <c r="O203" s="189"/>
      <c r="P203" s="192"/>
      <c r="Q203" s="192"/>
      <c r="R203" s="217"/>
      <c r="S203" s="190"/>
      <c r="T203" s="190"/>
      <c r="U203" s="192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</row>
    <row r="204" spans="1:58" ht="15" x14ac:dyDescent="0.25">
      <c r="A204" s="130"/>
      <c r="B204" s="1348" t="s">
        <v>647</v>
      </c>
      <c r="C204" s="1354">
        <f t="shared" ref="C204:H204" si="27">$Y$26+$Z$26+$AA$26+$AB$26+$AC$26+$AC$27+$AB$27+$AA$27+$Z$27+$Y$27</f>
        <v>0</v>
      </c>
      <c r="D204" s="1354">
        <f t="shared" si="27"/>
        <v>0</v>
      </c>
      <c r="E204" s="1354">
        <f t="shared" si="27"/>
        <v>0</v>
      </c>
      <c r="F204" s="1354">
        <f t="shared" si="27"/>
        <v>0</v>
      </c>
      <c r="G204" s="1354">
        <f t="shared" si="27"/>
        <v>0</v>
      </c>
      <c r="H204" s="1354">
        <f t="shared" si="27"/>
        <v>0</v>
      </c>
      <c r="I204" s="1354">
        <f>Y26+Z26+AB26</f>
        <v>0</v>
      </c>
      <c r="J204" s="1354">
        <f>I204</f>
        <v>0</v>
      </c>
      <c r="K204" s="1361"/>
      <c r="L204" s="1354">
        <f>$Y$26+$Z$26+$AA$26+$AB$26+$AC$26+$AC$27+$AB$27+$AA$27+$Z$27+$Y$27</f>
        <v>0</v>
      </c>
      <c r="M204" s="1361"/>
      <c r="N204" s="189"/>
      <c r="O204" s="189"/>
      <c r="P204" s="192"/>
      <c r="Q204" s="192"/>
      <c r="R204" s="217"/>
      <c r="S204" s="190"/>
      <c r="T204" s="190"/>
      <c r="U204" s="192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</row>
    <row r="205" spans="1:58" ht="15" x14ac:dyDescent="0.25">
      <c r="A205" s="130"/>
      <c r="B205" s="1348" t="s">
        <v>598</v>
      </c>
      <c r="C205" s="1354">
        <f t="shared" ref="C205:H205" si="28">$AI$26+$AJ$26+$AK$26+$AL$26+$AM$26+$AI$27+$AJ$27+$AK$27+$AL$27+$AM$27</f>
        <v>0</v>
      </c>
      <c r="D205" s="1354">
        <f t="shared" si="28"/>
        <v>0</v>
      </c>
      <c r="E205" s="1354">
        <f t="shared" si="28"/>
        <v>0</v>
      </c>
      <c r="F205" s="1354">
        <f t="shared" si="28"/>
        <v>0</v>
      </c>
      <c r="G205" s="1354">
        <f t="shared" si="28"/>
        <v>0</v>
      </c>
      <c r="H205" s="1354">
        <f t="shared" si="28"/>
        <v>0</v>
      </c>
      <c r="I205" s="1354">
        <f>$AI$26+$AJ$26+$AL$26</f>
        <v>0</v>
      </c>
      <c r="J205" s="1354">
        <f>$AI$26+$AJ$26+$AL$26</f>
        <v>0</v>
      </c>
      <c r="K205" s="1361"/>
      <c r="L205" s="1354">
        <f>$AI$26+$AJ$26+$AK$26+$AL$26+$AM$26+$AI$27+$AJ$27+$AK$27+$AL$27+$AM$27</f>
        <v>0</v>
      </c>
      <c r="M205" s="1361"/>
      <c r="N205" s="189"/>
      <c r="O205" s="189"/>
      <c r="P205" s="192"/>
      <c r="Q205" s="192"/>
      <c r="R205" s="217"/>
      <c r="S205" s="190"/>
      <c r="T205" s="190"/>
      <c r="U205" s="192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</row>
    <row r="206" spans="1:58" ht="15" x14ac:dyDescent="0.25">
      <c r="A206" s="130"/>
      <c r="B206" s="1348" t="s">
        <v>576</v>
      </c>
      <c r="C206" s="1354">
        <f t="shared" ref="C206:J206" si="29">C201*C200</f>
        <v>0.75</v>
      </c>
      <c r="D206" s="1354">
        <f t="shared" si="29"/>
        <v>0.75</v>
      </c>
      <c r="E206" s="1354">
        <f t="shared" si="29"/>
        <v>0.75</v>
      </c>
      <c r="F206" s="1354">
        <f t="shared" si="29"/>
        <v>0.375</v>
      </c>
      <c r="G206" s="1354">
        <f t="shared" si="29"/>
        <v>0.375</v>
      </c>
      <c r="H206" s="1354">
        <f t="shared" si="29"/>
        <v>3</v>
      </c>
      <c r="I206" s="1354">
        <f t="shared" si="29"/>
        <v>0.75</v>
      </c>
      <c r="J206" s="1354">
        <f t="shared" si="29"/>
        <v>1.5</v>
      </c>
      <c r="K206" s="1361"/>
      <c r="L206" s="1354">
        <f t="shared" ref="L206" si="30">L201*L200</f>
        <v>0.375</v>
      </c>
      <c r="M206" s="1361"/>
      <c r="N206" s="189"/>
      <c r="O206" s="189"/>
      <c r="P206" s="192"/>
      <c r="Q206" s="192"/>
      <c r="R206" s="217"/>
      <c r="S206" s="217"/>
      <c r="T206" s="217"/>
      <c r="U206" s="192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</row>
    <row r="207" spans="1:58" ht="15" x14ac:dyDescent="0.25">
      <c r="A207" s="130"/>
      <c r="B207" s="1348" t="s">
        <v>577</v>
      </c>
      <c r="C207" s="1354">
        <f t="shared" ref="C207:J207" si="31">C202*C200</f>
        <v>0</v>
      </c>
      <c r="D207" s="1354">
        <f t="shared" si="31"/>
        <v>0</v>
      </c>
      <c r="E207" s="1354">
        <f t="shared" si="31"/>
        <v>0</v>
      </c>
      <c r="F207" s="1354">
        <f t="shared" si="31"/>
        <v>0</v>
      </c>
      <c r="G207" s="1354">
        <f t="shared" si="31"/>
        <v>0</v>
      </c>
      <c r="H207" s="1354">
        <f t="shared" si="31"/>
        <v>0</v>
      </c>
      <c r="I207" s="1354">
        <f t="shared" si="31"/>
        <v>0</v>
      </c>
      <c r="J207" s="1354">
        <f t="shared" si="31"/>
        <v>0</v>
      </c>
      <c r="K207" s="1361"/>
      <c r="L207" s="1354">
        <f t="shared" ref="L207" si="32">L202*L200</f>
        <v>0</v>
      </c>
      <c r="M207" s="1361"/>
      <c r="N207" s="189"/>
      <c r="O207" s="189"/>
      <c r="P207" s="92"/>
      <c r="Q207" s="92"/>
      <c r="R207" s="217"/>
      <c r="S207" s="217"/>
      <c r="T207" s="217"/>
      <c r="U207" s="192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</row>
    <row r="208" spans="1:58" ht="15" x14ac:dyDescent="0.25">
      <c r="A208" s="130"/>
      <c r="B208" s="1348" t="s">
        <v>584</v>
      </c>
      <c r="C208" s="1354">
        <f t="shared" ref="C208:J208" si="33">C203*C200</f>
        <v>0.44999999999999996</v>
      </c>
      <c r="D208" s="1354">
        <f t="shared" si="33"/>
        <v>0.44999999999999996</v>
      </c>
      <c r="E208" s="1354">
        <f t="shared" si="33"/>
        <v>0.44999999999999996</v>
      </c>
      <c r="F208" s="1354">
        <f t="shared" si="33"/>
        <v>0.22499999999999998</v>
      </c>
      <c r="G208" s="1354">
        <f t="shared" si="33"/>
        <v>0.22499999999999998</v>
      </c>
      <c r="H208" s="1354">
        <f t="shared" si="33"/>
        <v>1.7999999999999998</v>
      </c>
      <c r="I208" s="1354">
        <f t="shared" si="33"/>
        <v>0.44999999999999996</v>
      </c>
      <c r="J208" s="1354">
        <f t="shared" si="33"/>
        <v>0.89999999999999991</v>
      </c>
      <c r="K208" s="1361"/>
      <c r="L208" s="1354">
        <f t="shared" ref="L208" si="34">L203*L200</f>
        <v>0.22499999999999998</v>
      </c>
      <c r="M208" s="1361"/>
      <c r="N208" s="189"/>
      <c r="O208" s="189"/>
      <c r="P208" s="92"/>
      <c r="Q208" s="92"/>
      <c r="R208" s="217"/>
      <c r="S208" s="217"/>
      <c r="T208" s="217"/>
      <c r="U208" s="192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</row>
    <row r="209" spans="1:58" ht="15" x14ac:dyDescent="0.25">
      <c r="A209" s="130"/>
      <c r="B209" s="1348" t="s">
        <v>646</v>
      </c>
      <c r="C209" s="1354">
        <f t="shared" ref="C209:J209" si="35">C204*C200</f>
        <v>0</v>
      </c>
      <c r="D209" s="1354">
        <f t="shared" si="35"/>
        <v>0</v>
      </c>
      <c r="E209" s="1354">
        <f t="shared" si="35"/>
        <v>0</v>
      </c>
      <c r="F209" s="1354">
        <f t="shared" si="35"/>
        <v>0</v>
      </c>
      <c r="G209" s="1354">
        <f t="shared" si="35"/>
        <v>0</v>
      </c>
      <c r="H209" s="1354">
        <f t="shared" si="35"/>
        <v>0</v>
      </c>
      <c r="I209" s="1354">
        <f t="shared" si="35"/>
        <v>0</v>
      </c>
      <c r="J209" s="1354">
        <f t="shared" si="35"/>
        <v>0</v>
      </c>
      <c r="K209" s="1361"/>
      <c r="L209" s="1354">
        <f t="shared" ref="L209" si="36">L204*L200</f>
        <v>0</v>
      </c>
      <c r="M209" s="1361"/>
      <c r="N209" s="189"/>
      <c r="O209" s="189"/>
      <c r="P209" s="92"/>
      <c r="Q209" s="92"/>
      <c r="R209" s="217"/>
      <c r="S209" s="217"/>
      <c r="T209" s="217"/>
      <c r="U209" s="192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</row>
    <row r="210" spans="1:58" ht="15" x14ac:dyDescent="0.25">
      <c r="A210" s="130"/>
      <c r="B210" s="1348" t="s">
        <v>596</v>
      </c>
      <c r="C210" s="1354">
        <f t="shared" ref="C210:J210" si="37">C205*C200</f>
        <v>0</v>
      </c>
      <c r="D210" s="1354">
        <f t="shared" si="37"/>
        <v>0</v>
      </c>
      <c r="E210" s="1354">
        <f t="shared" si="37"/>
        <v>0</v>
      </c>
      <c r="F210" s="1354">
        <f t="shared" si="37"/>
        <v>0</v>
      </c>
      <c r="G210" s="1354">
        <f t="shared" si="37"/>
        <v>0</v>
      </c>
      <c r="H210" s="1354">
        <f t="shared" si="37"/>
        <v>0</v>
      </c>
      <c r="I210" s="1354">
        <f t="shared" si="37"/>
        <v>0</v>
      </c>
      <c r="J210" s="1354">
        <f t="shared" si="37"/>
        <v>0</v>
      </c>
      <c r="K210" s="1361"/>
      <c r="L210" s="1354">
        <f t="shared" ref="L210" si="38">L205*L200</f>
        <v>0</v>
      </c>
      <c r="M210" s="1361"/>
      <c r="N210" s="189"/>
      <c r="O210" s="189"/>
      <c r="P210" s="92"/>
      <c r="Q210" s="92"/>
      <c r="R210" s="217"/>
      <c r="S210" s="217"/>
      <c r="T210" s="217"/>
      <c r="U210" s="192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</row>
    <row r="211" spans="1:58" ht="14.25" x14ac:dyDescent="0.2">
      <c r="B211" s="1319"/>
      <c r="C211" s="1338"/>
      <c r="D211" s="1239"/>
      <c r="E211" s="1239"/>
      <c r="F211" s="1239"/>
      <c r="G211" s="1239"/>
      <c r="H211" s="1239"/>
      <c r="I211" s="1239"/>
      <c r="J211" s="1239"/>
      <c r="K211" s="1239"/>
      <c r="L211" s="1239"/>
      <c r="M211" s="1239"/>
      <c r="N211" s="193"/>
      <c r="O211" s="193"/>
      <c r="P211" s="193"/>
      <c r="Q211" s="193"/>
      <c r="R211" s="193"/>
      <c r="S211" s="193"/>
      <c r="T211" s="193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</row>
    <row r="212" spans="1:58" s="130" customFormat="1" ht="15" x14ac:dyDescent="0.2">
      <c r="A212" s="126">
        <v>10</v>
      </c>
      <c r="B212" s="1362" t="s">
        <v>71</v>
      </c>
      <c r="C212" s="1363"/>
      <c r="D212" s="1363"/>
      <c r="E212" s="1364"/>
      <c r="F212" s="1363"/>
      <c r="G212" s="1363"/>
      <c r="H212" s="1363"/>
      <c r="I212" s="1364"/>
      <c r="J212" s="1363"/>
      <c r="K212" s="1365"/>
      <c r="L212" s="1342"/>
      <c r="M212" s="1342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581"/>
      <c r="AK212" s="581"/>
      <c r="AL212" s="581"/>
      <c r="AM212" s="581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</row>
    <row r="213" spans="1:58" s="130" customFormat="1" ht="75" x14ac:dyDescent="0.2">
      <c r="A213" s="155">
        <v>10</v>
      </c>
      <c r="B213" s="1345" t="s">
        <v>301</v>
      </c>
      <c r="C213" s="1346" t="s">
        <v>50</v>
      </c>
      <c r="D213" s="1366" t="s">
        <v>171</v>
      </c>
      <c r="E213" s="1346" t="s">
        <v>831</v>
      </c>
      <c r="F213" s="1346" t="s">
        <v>832</v>
      </c>
      <c r="G213" s="1346" t="s">
        <v>754</v>
      </c>
      <c r="H213" s="1346" t="s">
        <v>885</v>
      </c>
      <c r="I213" s="1346" t="s">
        <v>762</v>
      </c>
      <c r="J213" s="1346" t="s">
        <v>755</v>
      </c>
      <c r="K213" s="1346" t="s">
        <v>763</v>
      </c>
      <c r="L213" s="1367"/>
      <c r="M213" s="1367"/>
      <c r="N213" s="192"/>
      <c r="O213" s="213"/>
      <c r="P213" s="213"/>
      <c r="Q213" s="190"/>
      <c r="R213" s="190"/>
      <c r="S213" s="190"/>
      <c r="T213" s="190"/>
      <c r="U213" s="192"/>
      <c r="V213" s="192"/>
      <c r="W213" s="192"/>
      <c r="X213" s="192"/>
      <c r="Y213" s="192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89"/>
      <c r="AK213" s="189"/>
      <c r="AL213" s="189"/>
      <c r="AM213" s="189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</row>
    <row r="214" spans="1:58" ht="57" x14ac:dyDescent="0.2">
      <c r="A214" s="170" t="s">
        <v>275</v>
      </c>
      <c r="B214" s="1368" t="s">
        <v>673</v>
      </c>
      <c r="C214" s="1369">
        <v>0.65180000000000005</v>
      </c>
      <c r="D214" s="1370">
        <v>120</v>
      </c>
      <c r="E214" s="1371">
        <v>0</v>
      </c>
      <c r="F214" s="1371">
        <v>0</v>
      </c>
      <c r="G214" s="1371">
        <v>0</v>
      </c>
      <c r="H214" s="1372"/>
      <c r="I214" s="1372"/>
      <c r="J214" s="1372"/>
      <c r="K214" s="1372"/>
      <c r="L214" s="1235"/>
      <c r="M214" s="1235"/>
      <c r="N214" s="190"/>
      <c r="O214" s="219"/>
      <c r="P214" s="208"/>
      <c r="Q214" s="190"/>
      <c r="R214" s="190"/>
      <c r="S214" s="190"/>
      <c r="T214" s="193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Y214" s="661">
        <v>3</v>
      </c>
    </row>
    <row r="215" spans="1:58" ht="57" x14ac:dyDescent="0.2">
      <c r="A215" s="170" t="s">
        <v>275</v>
      </c>
      <c r="B215" s="1368" t="s">
        <v>674</v>
      </c>
      <c r="C215" s="1369">
        <v>0.65180000000000005</v>
      </c>
      <c r="D215" s="1370">
        <v>120</v>
      </c>
      <c r="E215" s="1371">
        <v>0</v>
      </c>
      <c r="F215" s="1371">
        <v>0</v>
      </c>
      <c r="G215" s="1371">
        <v>0</v>
      </c>
      <c r="H215" s="1372"/>
      <c r="I215" s="1372"/>
      <c r="J215" s="1372"/>
      <c r="K215" s="1372"/>
      <c r="L215" s="1235"/>
      <c r="M215" s="1235"/>
      <c r="N215" s="190"/>
      <c r="O215" s="219"/>
      <c r="P215" s="208"/>
      <c r="Q215" s="190"/>
      <c r="R215" s="190"/>
      <c r="S215" s="190"/>
      <c r="T215" s="193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Y215" s="662">
        <v>0</v>
      </c>
    </row>
    <row r="216" spans="1:58" ht="57" x14ac:dyDescent="0.2">
      <c r="A216" s="170" t="s">
        <v>275</v>
      </c>
      <c r="B216" s="1368" t="s">
        <v>650</v>
      </c>
      <c r="C216" s="1369">
        <v>0.65180000000000005</v>
      </c>
      <c r="D216" s="1370">
        <v>120</v>
      </c>
      <c r="E216" s="1371">
        <v>0.7</v>
      </c>
      <c r="F216" s="1371">
        <v>0</v>
      </c>
      <c r="G216" s="1371">
        <v>0.3</v>
      </c>
      <c r="H216" s="1372"/>
      <c r="I216" s="1372"/>
      <c r="J216" s="1372"/>
      <c r="K216" s="1372"/>
      <c r="L216" s="1235"/>
      <c r="M216" s="1235"/>
      <c r="N216" s="190"/>
      <c r="O216" s="219"/>
      <c r="P216" s="208"/>
      <c r="Q216" s="190"/>
      <c r="R216" s="190"/>
      <c r="S216" s="190"/>
      <c r="T216" s="193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Y216" s="662"/>
    </row>
    <row r="217" spans="1:58" ht="42.75" x14ac:dyDescent="0.2">
      <c r="A217" s="170" t="s">
        <v>275</v>
      </c>
      <c r="B217" s="1368" t="s">
        <v>659</v>
      </c>
      <c r="C217" s="1369">
        <v>0.65180000000000005</v>
      </c>
      <c r="D217" s="1370">
        <v>120</v>
      </c>
      <c r="E217" s="1371">
        <v>0</v>
      </c>
      <c r="F217" s="1371">
        <v>0</v>
      </c>
      <c r="G217" s="1371">
        <v>0</v>
      </c>
      <c r="H217" s="1372"/>
      <c r="I217" s="1372"/>
      <c r="J217" s="1372"/>
      <c r="K217" s="1372"/>
      <c r="L217" s="1235"/>
      <c r="M217" s="1235"/>
      <c r="N217" s="190"/>
      <c r="O217" s="219"/>
      <c r="P217" s="208"/>
      <c r="Q217" s="190"/>
      <c r="R217" s="190"/>
      <c r="S217" s="190"/>
      <c r="T217" s="193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Y217" s="661">
        <v>1</v>
      </c>
    </row>
    <row r="218" spans="1:58" ht="71.25" x14ac:dyDescent="0.2">
      <c r="A218" s="170" t="s">
        <v>275</v>
      </c>
      <c r="B218" s="1368" t="s">
        <v>527</v>
      </c>
      <c r="C218" s="1369">
        <v>0.65180000000000005</v>
      </c>
      <c r="D218" s="1370">
        <v>120</v>
      </c>
      <c r="E218" s="1371">
        <v>0</v>
      </c>
      <c r="F218" s="1371">
        <v>0</v>
      </c>
      <c r="G218" s="1371">
        <v>0</v>
      </c>
      <c r="H218" s="1372"/>
      <c r="I218" s="1372"/>
      <c r="J218" s="1372"/>
      <c r="K218" s="1372"/>
      <c r="L218" s="1235"/>
      <c r="M218" s="1235"/>
      <c r="N218" s="190"/>
      <c r="O218" s="219"/>
      <c r="P218" s="208"/>
      <c r="Q218" s="190"/>
      <c r="R218" s="190"/>
      <c r="S218" s="190"/>
      <c r="T218" s="193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Y218" s="661">
        <v>2</v>
      </c>
    </row>
    <row r="219" spans="1:58" ht="28.5" x14ac:dyDescent="0.2">
      <c r="A219" s="170" t="s">
        <v>275</v>
      </c>
      <c r="B219" s="1368" t="s">
        <v>310</v>
      </c>
      <c r="C219" s="1369">
        <v>0.65180000000000005</v>
      </c>
      <c r="D219" s="1370">
        <v>120</v>
      </c>
      <c r="E219" s="1371">
        <v>0</v>
      </c>
      <c r="F219" s="1371">
        <v>0</v>
      </c>
      <c r="G219" s="1371">
        <v>0</v>
      </c>
      <c r="H219" s="1372"/>
      <c r="I219" s="1372"/>
      <c r="J219" s="1372"/>
      <c r="K219" s="1372"/>
      <c r="L219" s="1235"/>
      <c r="M219" s="1235"/>
      <c r="N219" s="190"/>
      <c r="O219" s="219"/>
      <c r="P219" s="208"/>
      <c r="Q219" s="190"/>
      <c r="R219" s="190"/>
      <c r="S219" s="190"/>
      <c r="T219" s="193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Y219" s="661">
        <f>AY214</f>
        <v>3</v>
      </c>
    </row>
    <row r="220" spans="1:58" ht="28.5" x14ac:dyDescent="0.2">
      <c r="A220" s="170" t="s">
        <v>275</v>
      </c>
      <c r="B220" s="1368" t="s">
        <v>573</v>
      </c>
      <c r="C220" s="1369">
        <v>0.65180000000000005</v>
      </c>
      <c r="D220" s="1370">
        <v>120</v>
      </c>
      <c r="E220" s="1371">
        <v>0</v>
      </c>
      <c r="F220" s="1371">
        <v>0</v>
      </c>
      <c r="G220" s="1371">
        <v>0</v>
      </c>
      <c r="H220" s="1372"/>
      <c r="I220" s="1372"/>
      <c r="J220" s="1372"/>
      <c r="K220" s="1372"/>
      <c r="L220" s="1367"/>
      <c r="M220" s="1367"/>
      <c r="N220" s="192"/>
      <c r="O220" s="219"/>
      <c r="P220" s="208"/>
      <c r="Q220" s="190"/>
      <c r="R220" s="190"/>
      <c r="S220" s="190"/>
      <c r="T220" s="193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Y220" s="661">
        <f>AY215</f>
        <v>0</v>
      </c>
    </row>
    <row r="221" spans="1:58" ht="28.5" x14ac:dyDescent="0.2">
      <c r="A221" s="170" t="s">
        <v>275</v>
      </c>
      <c r="B221" s="1368" t="s">
        <v>654</v>
      </c>
      <c r="C221" s="1369">
        <v>0.65180000000000005</v>
      </c>
      <c r="D221" s="1370">
        <v>120</v>
      </c>
      <c r="E221" s="1371">
        <v>0</v>
      </c>
      <c r="F221" s="1371">
        <v>1</v>
      </c>
      <c r="G221" s="1371">
        <v>0</v>
      </c>
      <c r="H221" s="1372"/>
      <c r="I221" s="1372"/>
      <c r="J221" s="1372"/>
      <c r="K221" s="1372"/>
      <c r="L221" s="1367"/>
      <c r="M221" s="1367"/>
      <c r="N221" s="192"/>
      <c r="O221" s="219"/>
      <c r="P221" s="208"/>
      <c r="Q221" s="190"/>
      <c r="R221" s="190"/>
      <c r="S221" s="190"/>
      <c r="T221" s="193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Y221" s="661"/>
    </row>
    <row r="222" spans="1:58" ht="28.5" x14ac:dyDescent="0.2">
      <c r="A222" s="170" t="s">
        <v>275</v>
      </c>
      <c r="B222" s="1368" t="s">
        <v>302</v>
      </c>
      <c r="C222" s="1369">
        <v>0.65180000000000005</v>
      </c>
      <c r="D222" s="1370">
        <v>120</v>
      </c>
      <c r="E222" s="1371">
        <v>0</v>
      </c>
      <c r="F222" s="1371">
        <v>1</v>
      </c>
      <c r="G222" s="1371">
        <v>0</v>
      </c>
      <c r="H222" s="1372"/>
      <c r="I222" s="1372"/>
      <c r="J222" s="1372"/>
      <c r="K222" s="1372"/>
      <c r="L222" s="1235"/>
      <c r="M222" s="1235"/>
      <c r="N222" s="190"/>
      <c r="O222" s="219"/>
      <c r="P222" s="208"/>
      <c r="Q222" s="190"/>
      <c r="R222" s="190"/>
      <c r="S222" s="190"/>
      <c r="T222" s="193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Y222" s="661">
        <f>AY217</f>
        <v>1</v>
      </c>
    </row>
    <row r="223" spans="1:58" s="130" customFormat="1" ht="28.5" x14ac:dyDescent="0.2">
      <c r="A223" s="146" t="s">
        <v>275</v>
      </c>
      <c r="B223" s="1368" t="s">
        <v>529</v>
      </c>
      <c r="C223" s="1369">
        <v>0.65180000000000005</v>
      </c>
      <c r="D223" s="1370">
        <v>120</v>
      </c>
      <c r="E223" s="1371">
        <f>E214</f>
        <v>0</v>
      </c>
      <c r="F223" s="1373">
        <v>0</v>
      </c>
      <c r="G223" s="1371">
        <f>G214</f>
        <v>0</v>
      </c>
      <c r="H223" s="1372"/>
      <c r="I223" s="1372"/>
      <c r="J223" s="1372"/>
      <c r="K223" s="1372"/>
      <c r="L223" s="1367"/>
      <c r="M223" s="1367"/>
      <c r="N223" s="192"/>
      <c r="O223" s="219"/>
      <c r="P223" s="208"/>
      <c r="Q223" s="190"/>
      <c r="R223" s="190"/>
      <c r="S223" s="190"/>
      <c r="T223" s="190"/>
      <c r="U223" s="192"/>
      <c r="V223" s="192"/>
      <c r="W223" s="192"/>
      <c r="X223" s="192"/>
      <c r="Y223" s="192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89"/>
      <c r="AK223" s="189"/>
      <c r="AL223" s="189"/>
      <c r="AM223" s="189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661">
        <f>AY214</f>
        <v>3</v>
      </c>
      <c r="AZ223" s="92"/>
      <c r="BA223" s="92"/>
      <c r="BB223" s="92"/>
      <c r="BC223" s="92"/>
      <c r="BD223" s="92"/>
      <c r="BE223" s="92"/>
      <c r="BF223" s="92"/>
    </row>
    <row r="224" spans="1:58" s="130" customFormat="1" ht="28.5" x14ac:dyDescent="0.2">
      <c r="A224" s="146" t="s">
        <v>275</v>
      </c>
      <c r="B224" s="1368" t="s">
        <v>530</v>
      </c>
      <c r="C224" s="1369">
        <v>0.65180000000000005</v>
      </c>
      <c r="D224" s="1370">
        <v>120</v>
      </c>
      <c r="E224" s="1371">
        <f>E215</f>
        <v>0</v>
      </c>
      <c r="F224" s="1373">
        <v>0</v>
      </c>
      <c r="G224" s="1371">
        <f>G215</f>
        <v>0</v>
      </c>
      <c r="H224" s="1372"/>
      <c r="I224" s="1372"/>
      <c r="J224" s="1372"/>
      <c r="K224" s="1372"/>
      <c r="L224" s="1367"/>
      <c r="M224" s="1367"/>
      <c r="N224" s="192"/>
      <c r="O224" s="219"/>
      <c r="P224" s="208"/>
      <c r="Q224" s="190"/>
      <c r="R224" s="190"/>
      <c r="S224" s="190"/>
      <c r="T224" s="190"/>
      <c r="U224" s="192"/>
      <c r="V224" s="192"/>
      <c r="W224" s="192"/>
      <c r="X224" s="192"/>
      <c r="Y224" s="192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89"/>
      <c r="AK224" s="189"/>
      <c r="AL224" s="189"/>
      <c r="AM224" s="189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662">
        <f>AY215</f>
        <v>0</v>
      </c>
      <c r="AZ224" s="92"/>
      <c r="BA224" s="92"/>
      <c r="BB224" s="92"/>
      <c r="BC224" s="92"/>
      <c r="BD224" s="92"/>
      <c r="BE224" s="92"/>
      <c r="BF224" s="92"/>
    </row>
    <row r="225" spans="1:58" s="130" customFormat="1" ht="28.5" x14ac:dyDescent="0.2">
      <c r="A225" s="146" t="s">
        <v>275</v>
      </c>
      <c r="B225" s="1368" t="s">
        <v>651</v>
      </c>
      <c r="C225" s="1369">
        <v>0.65180000000000005</v>
      </c>
      <c r="D225" s="1370">
        <v>120</v>
      </c>
      <c r="E225" s="1371">
        <f>E216</f>
        <v>0.7</v>
      </c>
      <c r="F225" s="1374">
        <v>0</v>
      </c>
      <c r="G225" s="1371">
        <f>G216</f>
        <v>0.3</v>
      </c>
      <c r="H225" s="1372"/>
      <c r="I225" s="1372"/>
      <c r="J225" s="1372"/>
      <c r="K225" s="1372"/>
      <c r="L225" s="1367"/>
      <c r="M225" s="1367"/>
      <c r="N225" s="192"/>
      <c r="O225" s="219"/>
      <c r="P225" s="208"/>
      <c r="Q225" s="190"/>
      <c r="R225" s="190"/>
      <c r="S225" s="190"/>
      <c r="T225" s="190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89"/>
      <c r="AK225" s="189"/>
      <c r="AL225" s="189"/>
      <c r="AM225" s="189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662"/>
      <c r="AZ225" s="92"/>
      <c r="BA225" s="92"/>
      <c r="BB225" s="92"/>
      <c r="BC225" s="92"/>
      <c r="BD225" s="92"/>
      <c r="BE225" s="92"/>
      <c r="BF225" s="92"/>
    </row>
    <row r="226" spans="1:58" s="130" customFormat="1" ht="28.5" x14ac:dyDescent="0.2">
      <c r="A226" s="146" t="s">
        <v>275</v>
      </c>
      <c r="B226" s="1368" t="s">
        <v>670</v>
      </c>
      <c r="C226" s="1369">
        <v>0.65180000000000005</v>
      </c>
      <c r="D226" s="1370">
        <v>120</v>
      </c>
      <c r="E226" s="1371"/>
      <c r="F226" s="1373">
        <v>0</v>
      </c>
      <c r="G226" s="1371"/>
      <c r="H226" s="1372"/>
      <c r="I226" s="1372"/>
      <c r="J226" s="1372"/>
      <c r="K226" s="1372"/>
      <c r="L226" s="1367"/>
      <c r="M226" s="1367"/>
      <c r="N226" s="192"/>
      <c r="O226" s="219"/>
      <c r="P226" s="208"/>
      <c r="Q226" s="190"/>
      <c r="R226" s="190"/>
      <c r="S226" s="190"/>
      <c r="T226" s="190"/>
      <c r="U226" s="192"/>
      <c r="V226" s="192"/>
      <c r="W226" s="192"/>
      <c r="X226" s="192"/>
      <c r="Y226" s="192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89"/>
      <c r="AK226" s="189"/>
      <c r="AL226" s="189"/>
      <c r="AM226" s="189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661">
        <f>AY217</f>
        <v>1</v>
      </c>
      <c r="AZ226" s="92"/>
      <c r="BA226" s="92"/>
      <c r="BB226" s="92"/>
      <c r="BC226" s="92"/>
      <c r="BD226" s="92"/>
      <c r="BE226" s="92"/>
      <c r="BF226" s="92"/>
    </row>
    <row r="227" spans="1:58" s="130" customFormat="1" ht="28.5" x14ac:dyDescent="0.2">
      <c r="A227" s="170" t="s">
        <v>275</v>
      </c>
      <c r="B227" s="1368" t="s">
        <v>531</v>
      </c>
      <c r="C227" s="1369">
        <v>0.65180000000000005</v>
      </c>
      <c r="D227" s="1370">
        <v>120</v>
      </c>
      <c r="E227" s="1371">
        <f>E218</f>
        <v>0</v>
      </c>
      <c r="F227" s="1373">
        <v>0</v>
      </c>
      <c r="G227" s="1371">
        <f>G218</f>
        <v>0</v>
      </c>
      <c r="H227" s="1372"/>
      <c r="I227" s="1372"/>
      <c r="J227" s="1372"/>
      <c r="K227" s="1372"/>
      <c r="L227" s="1367"/>
      <c r="M227" s="1367"/>
      <c r="N227" s="192"/>
      <c r="O227" s="219"/>
      <c r="P227" s="208"/>
      <c r="Q227" s="190"/>
      <c r="R227" s="190"/>
      <c r="S227" s="190"/>
      <c r="T227" s="190"/>
      <c r="U227" s="192"/>
      <c r="V227" s="192"/>
      <c r="W227" s="192"/>
      <c r="X227" s="192"/>
      <c r="Y227" s="192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89"/>
      <c r="AK227" s="189"/>
      <c r="AL227" s="189"/>
      <c r="AM227" s="189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661">
        <f>AY218</f>
        <v>2</v>
      </c>
      <c r="AZ227" s="92"/>
      <c r="BA227" s="92"/>
      <c r="BB227" s="92"/>
      <c r="BC227" s="92"/>
      <c r="BD227" s="92"/>
      <c r="BE227" s="92"/>
      <c r="BF227" s="92"/>
    </row>
    <row r="228" spans="1:58" ht="14.25" x14ac:dyDescent="0.2">
      <c r="A228" s="170" t="s">
        <v>275</v>
      </c>
      <c r="B228" s="1368" t="s">
        <v>298</v>
      </c>
      <c r="C228" s="1369">
        <v>0.65180000000000005</v>
      </c>
      <c r="D228" s="1370">
        <v>120</v>
      </c>
      <c r="E228" s="1371">
        <v>0</v>
      </c>
      <c r="F228" s="1374">
        <v>0</v>
      </c>
      <c r="G228" s="1353">
        <v>0</v>
      </c>
      <c r="H228" s="1371"/>
      <c r="I228" s="1371"/>
      <c r="J228" s="1371"/>
      <c r="K228" s="1371"/>
      <c r="L228" s="1235"/>
      <c r="M228" s="1235"/>
      <c r="N228" s="190"/>
      <c r="O228" s="219"/>
      <c r="P228" s="208"/>
      <c r="Q228" s="190"/>
      <c r="R228" s="190"/>
      <c r="S228" s="190"/>
      <c r="T228" s="193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Y228" s="663">
        <f>1/3</f>
        <v>0.33333333333333331</v>
      </c>
    </row>
    <row r="229" spans="1:58" ht="42.75" x14ac:dyDescent="0.2">
      <c r="A229" s="170" t="s">
        <v>275</v>
      </c>
      <c r="B229" s="1368" t="s">
        <v>299</v>
      </c>
      <c r="C229" s="1369">
        <v>0.65180000000000005</v>
      </c>
      <c r="D229" s="1370">
        <v>120</v>
      </c>
      <c r="E229" s="1371">
        <v>0</v>
      </c>
      <c r="F229" s="1373">
        <v>0</v>
      </c>
      <c r="G229" s="1371"/>
      <c r="H229" s="1372"/>
      <c r="I229" s="1372"/>
      <c r="J229" s="1372"/>
      <c r="K229" s="1372"/>
      <c r="L229" s="1235"/>
      <c r="M229" s="1235"/>
      <c r="N229" s="190"/>
      <c r="O229" s="219"/>
      <c r="P229" s="208"/>
      <c r="Q229" s="190"/>
      <c r="R229" s="190"/>
      <c r="S229" s="190"/>
      <c r="T229" s="193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Y229" s="662">
        <v>0</v>
      </c>
    </row>
    <row r="230" spans="1:58" ht="28.5" x14ac:dyDescent="0.2">
      <c r="A230" s="170" t="s">
        <v>275</v>
      </c>
      <c r="B230" s="1368" t="s">
        <v>300</v>
      </c>
      <c r="C230" s="1369">
        <v>0.65180000000000005</v>
      </c>
      <c r="D230" s="1370">
        <v>120</v>
      </c>
      <c r="E230" s="1371">
        <v>0</v>
      </c>
      <c r="F230" s="1374">
        <v>0</v>
      </c>
      <c r="G230" s="1371">
        <v>0</v>
      </c>
      <c r="H230" s="1371"/>
      <c r="I230" s="1371"/>
      <c r="J230" s="1371"/>
      <c r="K230" s="1371"/>
      <c r="L230" s="1235"/>
      <c r="M230" s="1235"/>
      <c r="N230" s="190"/>
      <c r="O230" s="219"/>
      <c r="P230" s="208"/>
      <c r="Q230" s="190"/>
      <c r="R230" s="190"/>
      <c r="S230" s="190"/>
      <c r="T230" s="193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Y230" s="663">
        <f>2/3</f>
        <v>0.66666666666666663</v>
      </c>
    </row>
    <row r="231" spans="1:58" ht="28.5" x14ac:dyDescent="0.2">
      <c r="A231" s="170" t="s">
        <v>275</v>
      </c>
      <c r="B231" s="1368" t="s">
        <v>303</v>
      </c>
      <c r="C231" s="1369">
        <v>0.65180000000000005</v>
      </c>
      <c r="D231" s="1370">
        <v>120</v>
      </c>
      <c r="E231" s="1371">
        <v>0</v>
      </c>
      <c r="F231" s="1374">
        <v>0</v>
      </c>
      <c r="G231" s="1371">
        <v>0</v>
      </c>
      <c r="H231" s="1372"/>
      <c r="I231" s="1372"/>
      <c r="J231" s="1372"/>
      <c r="K231" s="1372"/>
      <c r="L231" s="1235"/>
      <c r="M231" s="1235"/>
      <c r="N231" s="190"/>
      <c r="O231" s="219"/>
      <c r="P231" s="208"/>
      <c r="Q231" s="190"/>
      <c r="R231" s="190"/>
      <c r="S231" s="190"/>
      <c r="T231" s="193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Y231" s="663">
        <f>1/3</f>
        <v>0.33333333333333331</v>
      </c>
    </row>
    <row r="232" spans="1:58" ht="14.25" x14ac:dyDescent="0.2">
      <c r="A232" s="170" t="s">
        <v>275</v>
      </c>
      <c r="B232" s="1368" t="s">
        <v>878</v>
      </c>
      <c r="C232" s="1369">
        <v>0.65180000000000005</v>
      </c>
      <c r="D232" s="1370">
        <v>120</v>
      </c>
      <c r="E232" s="1371">
        <v>0</v>
      </c>
      <c r="F232" s="1373"/>
      <c r="G232" s="1371">
        <v>0</v>
      </c>
      <c r="H232" s="1372">
        <v>0.02</v>
      </c>
      <c r="I232" s="1371">
        <v>0.33</v>
      </c>
      <c r="J232" s="1371"/>
      <c r="K232" s="1371">
        <v>0.33</v>
      </c>
      <c r="L232" s="1239"/>
      <c r="M232" s="1239"/>
      <c r="N232" s="193"/>
      <c r="O232" s="193"/>
      <c r="P232" s="193"/>
      <c r="Q232" s="193"/>
      <c r="R232" s="193"/>
      <c r="S232" s="193"/>
      <c r="T232" s="193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Y232" s="664"/>
    </row>
    <row r="233" spans="1:58" ht="28.5" x14ac:dyDescent="0.2">
      <c r="A233" s="170" t="s">
        <v>275</v>
      </c>
      <c r="B233" s="1368" t="s">
        <v>792</v>
      </c>
      <c r="C233" s="1369">
        <v>0.65180000000000005</v>
      </c>
      <c r="D233" s="1370">
        <v>120</v>
      </c>
      <c r="E233" s="1371">
        <v>0</v>
      </c>
      <c r="F233" s="1373"/>
      <c r="G233" s="1371">
        <v>0</v>
      </c>
      <c r="H233" s="1372"/>
      <c r="I233" s="1371"/>
      <c r="J233" s="1371"/>
      <c r="K233" s="1371"/>
      <c r="L233" s="1239"/>
      <c r="M233" s="1239"/>
      <c r="N233" s="193"/>
      <c r="O233" s="193"/>
      <c r="P233" s="193"/>
      <c r="Q233" s="193"/>
      <c r="R233" s="193"/>
      <c r="S233" s="193"/>
      <c r="T233" s="193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Y233" s="664"/>
    </row>
    <row r="234" spans="1:58" s="130" customFormat="1" ht="28.5" x14ac:dyDescent="0.2">
      <c r="A234" s="170" t="s">
        <v>275</v>
      </c>
      <c r="B234" s="1368" t="s">
        <v>793</v>
      </c>
      <c r="C234" s="1369">
        <v>0.65180000000000005</v>
      </c>
      <c r="D234" s="1370">
        <v>120</v>
      </c>
      <c r="E234" s="1371">
        <v>0</v>
      </c>
      <c r="F234" s="1373"/>
      <c r="G234" s="1371">
        <v>0</v>
      </c>
      <c r="H234" s="1372">
        <v>0.02</v>
      </c>
      <c r="I234" s="1371">
        <v>0.33</v>
      </c>
      <c r="J234" s="1371"/>
      <c r="K234" s="1371">
        <v>0.33</v>
      </c>
      <c r="L234" s="1235"/>
      <c r="M234" s="1235"/>
      <c r="N234" s="190"/>
      <c r="O234" s="190"/>
      <c r="P234" s="190"/>
      <c r="Q234" s="190"/>
      <c r="R234" s="190"/>
      <c r="S234" s="190"/>
      <c r="T234" s="190"/>
      <c r="U234" s="192"/>
      <c r="V234" s="192"/>
      <c r="W234" s="192"/>
      <c r="X234" s="192"/>
      <c r="Y234" s="192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89"/>
      <c r="AK234" s="189"/>
      <c r="AL234" s="189"/>
      <c r="AM234" s="189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664"/>
      <c r="AZ234" s="92"/>
      <c r="BA234" s="92"/>
      <c r="BB234" s="92"/>
      <c r="BC234" s="92"/>
      <c r="BD234" s="92"/>
      <c r="BE234" s="92"/>
      <c r="BF234" s="92"/>
    </row>
    <row r="235" spans="1:58" s="130" customFormat="1" ht="28.5" x14ac:dyDescent="0.2">
      <c r="A235" s="170" t="s">
        <v>275</v>
      </c>
      <c r="B235" s="1368" t="s">
        <v>794</v>
      </c>
      <c r="C235" s="1369">
        <v>0.65180000000000005</v>
      </c>
      <c r="D235" s="1370">
        <v>120</v>
      </c>
      <c r="E235" s="1371">
        <v>0</v>
      </c>
      <c r="F235" s="1373"/>
      <c r="G235" s="1371">
        <v>0</v>
      </c>
      <c r="H235" s="1372"/>
      <c r="I235" s="1371"/>
      <c r="J235" s="1371"/>
      <c r="K235" s="1371"/>
      <c r="L235" s="1235"/>
      <c r="M235" s="1235"/>
      <c r="N235" s="190"/>
      <c r="O235" s="190"/>
      <c r="P235" s="190"/>
      <c r="Q235" s="190"/>
      <c r="R235" s="190"/>
      <c r="S235" s="190"/>
      <c r="T235" s="190"/>
      <c r="U235" s="192"/>
      <c r="V235" s="192"/>
      <c r="W235" s="192"/>
      <c r="X235" s="192"/>
      <c r="Y235" s="192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89"/>
      <c r="AK235" s="189"/>
      <c r="AL235" s="189"/>
      <c r="AM235" s="189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664"/>
      <c r="AZ235" s="92"/>
      <c r="BA235" s="92"/>
      <c r="BB235" s="92"/>
      <c r="BC235" s="92"/>
      <c r="BD235" s="92"/>
      <c r="BE235" s="92"/>
      <c r="BF235" s="92"/>
    </row>
    <row r="236" spans="1:58" s="130" customFormat="1" ht="14.25" x14ac:dyDescent="0.2">
      <c r="A236" s="170" t="s">
        <v>275</v>
      </c>
      <c r="B236" s="1368" t="s">
        <v>884</v>
      </c>
      <c r="C236" s="1369">
        <v>0.65180000000000005</v>
      </c>
      <c r="D236" s="1370">
        <v>120</v>
      </c>
      <c r="E236" s="1371">
        <v>0</v>
      </c>
      <c r="F236" s="1373"/>
      <c r="G236" s="1371">
        <v>0</v>
      </c>
      <c r="H236" s="1372">
        <v>0.02</v>
      </c>
      <c r="I236" s="1371">
        <v>0.33</v>
      </c>
      <c r="J236" s="1371"/>
      <c r="K236" s="1371">
        <v>0.33</v>
      </c>
      <c r="L236" s="1235"/>
      <c r="M236" s="1235"/>
      <c r="N236" s="190"/>
      <c r="O236" s="190"/>
      <c r="P236" s="190"/>
      <c r="Q236" s="190"/>
      <c r="R236" s="190"/>
      <c r="S236" s="190"/>
      <c r="T236" s="190"/>
      <c r="U236" s="192"/>
      <c r="V236" s="192"/>
      <c r="W236" s="192"/>
      <c r="X236" s="192"/>
      <c r="Y236" s="192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89"/>
      <c r="AK236" s="189"/>
      <c r="AL236" s="189"/>
      <c r="AM236" s="189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</row>
    <row r="237" spans="1:58" s="130" customFormat="1" ht="14.25" x14ac:dyDescent="0.2">
      <c r="A237" s="170" t="s">
        <v>275</v>
      </c>
      <c r="B237" s="1368" t="s">
        <v>879</v>
      </c>
      <c r="C237" s="1369">
        <v>0.65180000000000005</v>
      </c>
      <c r="D237" s="1370">
        <v>120</v>
      </c>
      <c r="E237" s="1371">
        <v>0</v>
      </c>
      <c r="F237" s="1373"/>
      <c r="G237" s="1371">
        <v>0</v>
      </c>
      <c r="H237" s="1372"/>
      <c r="I237" s="1371"/>
      <c r="J237" s="1371"/>
      <c r="K237" s="1371"/>
      <c r="L237" s="1235"/>
      <c r="M237" s="1235"/>
      <c r="N237" s="190"/>
      <c r="O237" s="190"/>
      <c r="P237" s="190"/>
      <c r="Q237" s="190"/>
      <c r="R237" s="190"/>
      <c r="S237" s="190"/>
      <c r="T237" s="190"/>
      <c r="U237" s="192"/>
      <c r="V237" s="192"/>
      <c r="W237" s="192"/>
      <c r="X237" s="192"/>
      <c r="Y237" s="192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89"/>
      <c r="AK237" s="189"/>
      <c r="AL237" s="189"/>
      <c r="AM237" s="189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</row>
    <row r="238" spans="1:58" s="130" customFormat="1" ht="14.25" x14ac:dyDescent="0.2">
      <c r="A238" s="171" t="s">
        <v>275</v>
      </c>
      <c r="B238" s="1368" t="s">
        <v>656</v>
      </c>
      <c r="C238" s="1369">
        <v>0.65180000000000005</v>
      </c>
      <c r="D238" s="1370">
        <v>120</v>
      </c>
      <c r="E238" s="1371">
        <v>0</v>
      </c>
      <c r="F238" s="1373">
        <v>53</v>
      </c>
      <c r="G238" s="1371">
        <v>0</v>
      </c>
      <c r="H238" s="1372"/>
      <c r="I238" s="1371"/>
      <c r="J238" s="1371"/>
      <c r="K238" s="1371"/>
      <c r="L238" s="1235"/>
      <c r="M238" s="1235"/>
      <c r="N238" s="190"/>
      <c r="O238" s="190"/>
      <c r="P238" s="190"/>
      <c r="Q238" s="190"/>
      <c r="R238" s="190"/>
      <c r="S238" s="190"/>
      <c r="T238" s="190"/>
      <c r="U238" s="192"/>
      <c r="V238" s="192"/>
      <c r="W238" s="192"/>
      <c r="X238" s="192"/>
      <c r="Y238" s="192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89"/>
      <c r="AK238" s="189"/>
      <c r="AL238" s="189"/>
      <c r="AM238" s="189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</row>
    <row r="239" spans="1:58" s="130" customFormat="1" ht="14.25" x14ac:dyDescent="0.2">
      <c r="A239" s="148"/>
      <c r="B239" s="1375"/>
      <c r="C239" s="1376"/>
      <c r="D239" s="1294"/>
      <c r="E239" s="1294"/>
      <c r="F239" s="1377"/>
      <c r="G239" s="1377"/>
      <c r="H239" s="1294"/>
      <c r="I239" s="1294"/>
      <c r="J239" s="1294"/>
      <c r="K239" s="1239"/>
      <c r="L239" s="1235"/>
      <c r="M239" s="1235"/>
      <c r="N239" s="190"/>
      <c r="O239" s="190"/>
      <c r="P239" s="190"/>
      <c r="Q239" s="190"/>
      <c r="R239" s="190"/>
      <c r="S239" s="190"/>
      <c r="T239" s="190"/>
      <c r="U239" s="192"/>
      <c r="V239" s="192"/>
      <c r="W239" s="192"/>
      <c r="X239" s="192"/>
      <c r="Y239" s="192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89"/>
      <c r="AK239" s="189"/>
      <c r="AL239" s="189"/>
      <c r="AM239" s="189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</row>
    <row r="240" spans="1:58" s="130" customFormat="1" ht="15" x14ac:dyDescent="0.2">
      <c r="A240" s="126">
        <v>10</v>
      </c>
      <c r="B240" s="1295" t="s">
        <v>757</v>
      </c>
      <c r="C240" s="1296"/>
      <c r="D240" s="1296"/>
      <c r="E240" s="1378"/>
      <c r="F240" s="1296"/>
      <c r="G240" s="1296"/>
      <c r="H240" s="1296"/>
      <c r="I240" s="1378"/>
      <c r="J240" s="1296"/>
      <c r="K240" s="1296"/>
      <c r="L240" s="1296"/>
      <c r="M240" s="1296"/>
      <c r="N240" s="126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581"/>
      <c r="AK240" s="581"/>
      <c r="AL240" s="581"/>
      <c r="AM240" s="581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</row>
    <row r="241" spans="1:58" ht="60" x14ac:dyDescent="0.2">
      <c r="A241" s="149"/>
      <c r="B241" s="1379" t="s">
        <v>749</v>
      </c>
      <c r="C241" s="1380" t="s">
        <v>9</v>
      </c>
      <c r="D241" s="1380"/>
      <c r="E241" s="1380" t="s">
        <v>831</v>
      </c>
      <c r="F241" s="1380" t="s">
        <v>832</v>
      </c>
      <c r="G241" s="1380" t="s">
        <v>754</v>
      </c>
      <c r="H241" s="1380" t="s">
        <v>885</v>
      </c>
      <c r="I241" s="1380" t="s">
        <v>771</v>
      </c>
      <c r="J241" s="1380" t="s">
        <v>770</v>
      </c>
      <c r="K241" s="1380" t="s">
        <v>772</v>
      </c>
      <c r="L241" s="1380" t="s">
        <v>756</v>
      </c>
      <c r="M241" s="1381"/>
      <c r="N241" s="683"/>
      <c r="O241" s="149"/>
      <c r="P241" s="149"/>
      <c r="Q241" s="149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</row>
    <row r="242" spans="1:58" ht="13.15" customHeight="1" x14ac:dyDescent="0.2">
      <c r="A242" s="147" t="s">
        <v>275</v>
      </c>
      <c r="B242" s="1368" t="s">
        <v>660</v>
      </c>
      <c r="C242" s="1371" t="s">
        <v>4</v>
      </c>
      <c r="D242" s="1371"/>
      <c r="E242" s="1382">
        <f>(E214+E215+E216+E218+E232)*$L$242</f>
        <v>1.4</v>
      </c>
      <c r="F242" s="1382"/>
      <c r="G242" s="1382">
        <f>(G214+G215+G216+G218+G232)*$L$242</f>
        <v>0.6</v>
      </c>
      <c r="H242" s="1382">
        <v>0</v>
      </c>
      <c r="I242" s="1382">
        <f>(I232+I233+I234+I235+I236+I237)*L242</f>
        <v>1.98</v>
      </c>
      <c r="J242" s="1383"/>
      <c r="K242" s="1382">
        <f>(K232+K233+K234+K235+K236+K237)*L242</f>
        <v>1.98</v>
      </c>
      <c r="L242" s="1371">
        <v>2</v>
      </c>
      <c r="M242" s="1384"/>
      <c r="N242" s="684"/>
      <c r="O242" s="193"/>
      <c r="P242" s="193"/>
      <c r="Q242" s="193"/>
      <c r="R242" s="193"/>
      <c r="S242" s="193"/>
      <c r="T242" s="193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</row>
    <row r="243" spans="1:58" ht="14.25" x14ac:dyDescent="0.2">
      <c r="A243" s="147" t="s">
        <v>275</v>
      </c>
      <c r="B243" s="1368" t="s">
        <v>662</v>
      </c>
      <c r="C243" s="1371" t="s">
        <v>4</v>
      </c>
      <c r="D243" s="1371"/>
      <c r="E243" s="1382">
        <f>(E217+E233)*$L$243</f>
        <v>0</v>
      </c>
      <c r="F243" s="1382"/>
      <c r="G243" s="1382">
        <f>(G217+G233)*$L$243</f>
        <v>0</v>
      </c>
      <c r="H243" s="1382">
        <v>0</v>
      </c>
      <c r="I243" s="1382">
        <f>I233*$L$243</f>
        <v>0</v>
      </c>
      <c r="J243" s="1383"/>
      <c r="K243" s="1382">
        <f>K233*$L$243</f>
        <v>0</v>
      </c>
      <c r="L243" s="1371"/>
      <c r="M243" s="1384"/>
      <c r="N243" s="684"/>
      <c r="O243" s="220"/>
      <c r="P243" s="193"/>
      <c r="Q243" s="193"/>
      <c r="R243" s="193"/>
      <c r="S243" s="193"/>
      <c r="T243" s="193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</row>
    <row r="244" spans="1:58" ht="14.25" x14ac:dyDescent="0.2">
      <c r="A244" s="147" t="s">
        <v>275</v>
      </c>
      <c r="B244" s="1368" t="s">
        <v>664</v>
      </c>
      <c r="C244" s="1371" t="s">
        <v>4</v>
      </c>
      <c r="D244" s="1371"/>
      <c r="E244" s="1382"/>
      <c r="F244" s="1382"/>
      <c r="G244" s="1382"/>
      <c r="H244" s="1382"/>
      <c r="I244" s="1382"/>
      <c r="J244" s="1382"/>
      <c r="K244" s="1382"/>
      <c r="L244" s="1385">
        <v>0</v>
      </c>
      <c r="M244" s="1386"/>
      <c r="N244" s="685"/>
      <c r="O244" s="193"/>
      <c r="P244" s="193"/>
      <c r="Q244" s="193"/>
      <c r="R244" s="193"/>
      <c r="S244" s="193"/>
      <c r="T244" s="193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</row>
    <row r="245" spans="1:58" ht="14.25" x14ac:dyDescent="0.2">
      <c r="A245" s="147" t="s">
        <v>275</v>
      </c>
      <c r="B245" s="1368" t="s">
        <v>665</v>
      </c>
      <c r="C245" s="1371" t="s">
        <v>4</v>
      </c>
      <c r="D245" s="1371"/>
      <c r="E245" s="1382"/>
      <c r="F245" s="1382"/>
      <c r="G245" s="1382"/>
      <c r="H245" s="1382"/>
      <c r="I245" s="1382"/>
      <c r="J245" s="1382"/>
      <c r="K245" s="1382"/>
      <c r="L245" s="1371">
        <v>0</v>
      </c>
      <c r="M245" s="1384"/>
      <c r="N245" s="684"/>
      <c r="O245" s="193"/>
      <c r="P245" s="193"/>
      <c r="Q245" s="193"/>
      <c r="R245" s="193"/>
      <c r="S245" s="193"/>
      <c r="T245" s="193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</row>
    <row r="246" spans="1:58" ht="14.25" x14ac:dyDescent="0.2">
      <c r="A246" s="147" t="s">
        <v>275</v>
      </c>
      <c r="B246" s="1368" t="s">
        <v>663</v>
      </c>
      <c r="C246" s="1371" t="s">
        <v>4</v>
      </c>
      <c r="D246" s="1371"/>
      <c r="E246" s="1382"/>
      <c r="F246" s="1382">
        <f>F238*$L$246</f>
        <v>53</v>
      </c>
      <c r="G246" s="1382"/>
      <c r="H246" s="1387"/>
      <c r="I246" s="1387"/>
      <c r="J246" s="1387"/>
      <c r="K246" s="1387"/>
      <c r="L246" s="1371">
        <v>1</v>
      </c>
      <c r="M246" s="1384"/>
      <c r="N246" s="684"/>
      <c r="O246" s="193"/>
      <c r="P246" s="193"/>
      <c r="Q246" s="193"/>
      <c r="R246" s="193"/>
      <c r="S246" s="193"/>
      <c r="T246" s="193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</row>
    <row r="247" spans="1:58" ht="71.25" x14ac:dyDescent="0.2">
      <c r="A247" s="147" t="s">
        <v>275</v>
      </c>
      <c r="B247" s="1368" t="s">
        <v>736</v>
      </c>
      <c r="C247" s="1371" t="s">
        <v>4</v>
      </c>
      <c r="D247" s="1371"/>
      <c r="E247" s="1382">
        <v>34</v>
      </c>
      <c r="F247" s="1382"/>
      <c r="G247" s="1388"/>
      <c r="H247" s="1387"/>
      <c r="I247" s="1387"/>
      <c r="J247" s="1387"/>
      <c r="K247" s="1387"/>
      <c r="L247" s="1371">
        <v>34</v>
      </c>
      <c r="M247" s="1389" t="s">
        <v>907</v>
      </c>
      <c r="N247" s="684"/>
      <c r="P247" s="193"/>
      <c r="Q247" s="193"/>
      <c r="R247" s="193"/>
      <c r="S247" s="193"/>
      <c r="T247" s="193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</row>
    <row r="248" spans="1:58" ht="71.25" x14ac:dyDescent="0.2">
      <c r="A248" s="147" t="s">
        <v>275</v>
      </c>
      <c r="B248" s="1368" t="s">
        <v>737</v>
      </c>
      <c r="C248" s="1371" t="s">
        <v>4</v>
      </c>
      <c r="D248" s="1371"/>
      <c r="E248" s="1382"/>
      <c r="F248" s="1382"/>
      <c r="G248" s="1382">
        <v>18</v>
      </c>
      <c r="H248" s="1387"/>
      <c r="I248" s="1387"/>
      <c r="J248" s="1387"/>
      <c r="K248" s="1387"/>
      <c r="L248" s="1371">
        <v>18</v>
      </c>
      <c r="M248" s="1389" t="s">
        <v>907</v>
      </c>
      <c r="N248" s="684"/>
      <c r="P248" s="193"/>
      <c r="Q248" s="193"/>
      <c r="R248" s="193"/>
      <c r="S248" s="193"/>
      <c r="T248" s="193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</row>
    <row r="249" spans="1:58" ht="14.25" x14ac:dyDescent="0.2">
      <c r="A249" s="132"/>
      <c r="B249" s="1244"/>
      <c r="C249" s="1294"/>
      <c r="D249" s="1294"/>
      <c r="E249" s="1318"/>
      <c r="F249" s="1318"/>
      <c r="G249" s="1318"/>
      <c r="H249" s="1390"/>
      <c r="I249" s="1390"/>
      <c r="J249" s="1390"/>
      <c r="K249" s="1294"/>
      <c r="L249" s="1319"/>
      <c r="M249" s="1319"/>
      <c r="N249" s="211"/>
      <c r="O249" s="193"/>
      <c r="P249" s="193"/>
      <c r="Q249" s="193"/>
      <c r="R249" s="193"/>
      <c r="S249" s="193"/>
      <c r="T249" s="193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</row>
    <row r="250" spans="1:58" s="130" customFormat="1" ht="15" x14ac:dyDescent="0.2">
      <c r="A250" s="126">
        <v>11</v>
      </c>
      <c r="B250" s="1295" t="s">
        <v>758</v>
      </c>
      <c r="C250" s="1296"/>
      <c r="D250" s="1296"/>
      <c r="E250" s="1296"/>
      <c r="F250" s="1296"/>
      <c r="G250" s="1296"/>
      <c r="H250" s="1296"/>
      <c r="I250" s="1296"/>
      <c r="J250" s="1296"/>
      <c r="K250" s="1342"/>
      <c r="L250" s="1342"/>
      <c r="M250" s="1342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581"/>
      <c r="AK250" s="581"/>
      <c r="AL250" s="581"/>
      <c r="AM250" s="581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</row>
    <row r="251" spans="1:58" s="130" customFormat="1" ht="15" x14ac:dyDescent="0.25">
      <c r="A251" s="145"/>
      <c r="B251" s="1391"/>
      <c r="C251" s="1287"/>
      <c r="D251" s="1235"/>
      <c r="E251" s="1235"/>
      <c r="F251" s="1235"/>
      <c r="G251" s="1235"/>
      <c r="H251" s="1235"/>
      <c r="I251" s="1235"/>
      <c r="J251" s="1235"/>
      <c r="K251" s="1235"/>
      <c r="L251" s="1235"/>
      <c r="M251" s="1235"/>
      <c r="N251" s="190"/>
      <c r="O251" s="190"/>
      <c r="P251" s="190"/>
      <c r="Q251" s="190"/>
      <c r="R251" s="190"/>
      <c r="S251" s="190"/>
      <c r="T251" s="190"/>
      <c r="U251" s="192"/>
      <c r="V251" s="192"/>
      <c r="W251" s="192"/>
      <c r="X251" s="192"/>
      <c r="Y251" s="192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89"/>
      <c r="AK251" s="189"/>
      <c r="AL251" s="189"/>
      <c r="AM251" s="189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</row>
    <row r="252" spans="1:58" s="130" customFormat="1" ht="45" x14ac:dyDescent="0.2">
      <c r="A252" s="151" t="s">
        <v>354</v>
      </c>
      <c r="B252" s="1345" t="s">
        <v>896</v>
      </c>
      <c r="C252" s="1346"/>
      <c r="D252" s="1346" t="s">
        <v>327</v>
      </c>
      <c r="E252" s="1346" t="s">
        <v>328</v>
      </c>
      <c r="F252" s="1346" t="s">
        <v>332</v>
      </c>
      <c r="G252" s="1346" t="s">
        <v>333</v>
      </c>
      <c r="H252" s="1346" t="s">
        <v>334</v>
      </c>
      <c r="I252" s="1346" t="s">
        <v>335</v>
      </c>
      <c r="J252" s="1346" t="s">
        <v>336</v>
      </c>
      <c r="K252" s="1235"/>
      <c r="L252" s="1235"/>
      <c r="M252" s="1235"/>
      <c r="N252" s="190"/>
      <c r="O252" s="190"/>
      <c r="P252" s="190"/>
      <c r="Q252" s="190"/>
      <c r="R252" s="190"/>
      <c r="S252" s="190"/>
      <c r="T252" s="190"/>
      <c r="U252" s="192"/>
      <c r="V252" s="192"/>
      <c r="W252" s="192"/>
      <c r="X252" s="192"/>
      <c r="Y252" s="192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89"/>
      <c r="AK252" s="189"/>
      <c r="AL252" s="189"/>
      <c r="AM252" s="189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</row>
    <row r="253" spans="1:58" ht="28.5" x14ac:dyDescent="0.2">
      <c r="A253" s="136" t="s">
        <v>355</v>
      </c>
      <c r="B253" s="1368" t="s">
        <v>893</v>
      </c>
      <c r="C253" s="1372"/>
      <c r="D253" s="1354">
        <v>1.8</v>
      </c>
      <c r="E253" s="1392">
        <v>60000</v>
      </c>
      <c r="F253" s="1392">
        <v>1</v>
      </c>
      <c r="G253" s="1392">
        <v>1</v>
      </c>
      <c r="H253" s="1392">
        <v>1</v>
      </c>
      <c r="I253" s="1392">
        <v>2</v>
      </c>
      <c r="J253" s="1392">
        <v>3</v>
      </c>
      <c r="K253" s="1239"/>
      <c r="L253" s="1239"/>
      <c r="M253" s="1239"/>
      <c r="N253" s="193"/>
      <c r="O253" s="193"/>
      <c r="P253" s="193"/>
      <c r="Q253" s="193"/>
      <c r="R253" s="193"/>
      <c r="S253" s="193"/>
      <c r="T253" s="193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</row>
    <row r="254" spans="1:58" ht="14.25" x14ac:dyDescent="0.2">
      <c r="A254" s="136" t="s">
        <v>356</v>
      </c>
      <c r="B254" s="1368" t="s">
        <v>894</v>
      </c>
      <c r="C254" s="1393">
        <v>0</v>
      </c>
      <c r="D254" s="1392">
        <v>1.8</v>
      </c>
      <c r="E254" s="1392">
        <v>60000</v>
      </c>
      <c r="F254" s="1392">
        <v>1</v>
      </c>
      <c r="G254" s="1392">
        <v>1</v>
      </c>
      <c r="H254" s="1392">
        <v>1</v>
      </c>
      <c r="I254" s="1392">
        <v>2</v>
      </c>
      <c r="J254" s="1392">
        <v>2</v>
      </c>
      <c r="K254" s="1239"/>
      <c r="L254" s="1239"/>
      <c r="M254" s="1239"/>
      <c r="N254" s="193"/>
      <c r="O254" s="193"/>
      <c r="P254" s="193"/>
      <c r="Q254" s="193"/>
      <c r="R254" s="193"/>
      <c r="S254" s="193"/>
      <c r="T254" s="193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</row>
    <row r="255" spans="1:58" ht="14.25" x14ac:dyDescent="0.2">
      <c r="A255" s="136" t="s">
        <v>357</v>
      </c>
      <c r="B255" s="1368" t="s">
        <v>325</v>
      </c>
      <c r="C255" s="1393">
        <v>0</v>
      </c>
      <c r="D255" s="1392">
        <v>9.1999999999999993</v>
      </c>
      <c r="E255" s="1392">
        <v>60000</v>
      </c>
      <c r="F255" s="1392"/>
      <c r="G255" s="1392"/>
      <c r="H255" s="1392"/>
      <c r="I255" s="1392"/>
      <c r="J255" s="1392"/>
      <c r="K255" s="1239"/>
      <c r="L255" s="1239"/>
      <c r="M255" s="1239"/>
      <c r="N255" s="193"/>
      <c r="O255" s="193"/>
      <c r="P255" s="193"/>
      <c r="Q255" s="193"/>
      <c r="R255" s="193"/>
      <c r="S255" s="193"/>
      <c r="T255" s="193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</row>
    <row r="256" spans="1:58" s="130" customFormat="1" ht="14.25" x14ac:dyDescent="0.2">
      <c r="A256" s="136" t="s">
        <v>592</v>
      </c>
      <c r="B256" s="1368" t="s">
        <v>889</v>
      </c>
      <c r="C256" s="1393">
        <v>0</v>
      </c>
      <c r="D256" s="1394" t="s">
        <v>892</v>
      </c>
      <c r="E256" s="1392">
        <v>60000</v>
      </c>
      <c r="F256" s="1392">
        <v>0.1</v>
      </c>
      <c r="G256" s="1392">
        <v>0.1</v>
      </c>
      <c r="H256" s="1394">
        <v>0.1</v>
      </c>
      <c r="I256" s="1394">
        <v>0.2</v>
      </c>
      <c r="J256" s="1394">
        <v>0.3</v>
      </c>
      <c r="K256" s="1235"/>
      <c r="L256" s="1235"/>
      <c r="M256" s="1235"/>
      <c r="N256" s="190"/>
      <c r="O256" s="190"/>
      <c r="P256" s="190"/>
      <c r="Q256" s="190"/>
      <c r="R256" s="190"/>
      <c r="S256" s="190"/>
      <c r="T256" s="190"/>
      <c r="U256" s="192"/>
      <c r="V256" s="192"/>
      <c r="W256" s="192"/>
      <c r="X256" s="192"/>
      <c r="Y256" s="192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89"/>
      <c r="AK256" s="189"/>
      <c r="AL256" s="189"/>
      <c r="AM256" s="189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</row>
    <row r="257" spans="1:58" s="130" customFormat="1" ht="14.25" x14ac:dyDescent="0.2">
      <c r="A257" s="136" t="s">
        <v>887</v>
      </c>
      <c r="B257" s="1368" t="s">
        <v>890</v>
      </c>
      <c r="C257" s="1393"/>
      <c r="D257" s="1354">
        <v>3</v>
      </c>
      <c r="E257" s="1392">
        <v>60000</v>
      </c>
      <c r="F257" s="1395">
        <v>2</v>
      </c>
      <c r="G257" s="1395">
        <v>2</v>
      </c>
      <c r="H257" s="1395">
        <v>2</v>
      </c>
      <c r="I257" s="1395">
        <v>4</v>
      </c>
      <c r="J257" s="1395">
        <v>6</v>
      </c>
      <c r="K257" s="1235"/>
      <c r="L257" s="1235"/>
      <c r="M257" s="1235"/>
      <c r="N257" s="190"/>
      <c r="O257" s="190"/>
      <c r="P257" s="190"/>
      <c r="Q257" s="190"/>
      <c r="R257" s="190"/>
      <c r="S257" s="190"/>
      <c r="T257" s="190"/>
      <c r="U257" s="192"/>
      <c r="V257" s="192"/>
      <c r="W257" s="192"/>
      <c r="X257" s="192"/>
      <c r="Y257" s="192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89"/>
      <c r="AK257" s="189"/>
      <c r="AL257" s="189"/>
      <c r="AM257" s="189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</row>
    <row r="258" spans="1:58" s="130" customFormat="1" ht="14.25" x14ac:dyDescent="0.2">
      <c r="A258" s="136" t="s">
        <v>888</v>
      </c>
      <c r="B258" s="1368" t="s">
        <v>891</v>
      </c>
      <c r="C258" s="1393"/>
      <c r="D258" s="1354">
        <v>3</v>
      </c>
      <c r="E258" s="1392">
        <v>60000</v>
      </c>
      <c r="F258" s="1395">
        <v>0.08</v>
      </c>
      <c r="G258" s="1395">
        <v>0.08</v>
      </c>
      <c r="H258" s="1395">
        <v>0.08</v>
      </c>
      <c r="I258" s="1395">
        <v>0.16</v>
      </c>
      <c r="J258" s="1395">
        <v>1</v>
      </c>
      <c r="K258" s="1235"/>
      <c r="L258" s="1235"/>
      <c r="M258" s="1235"/>
      <c r="N258" s="190"/>
      <c r="O258" s="190"/>
      <c r="P258" s="190"/>
      <c r="Q258" s="190"/>
      <c r="R258" s="190"/>
      <c r="S258" s="190"/>
      <c r="T258" s="190"/>
      <c r="U258" s="192"/>
      <c r="V258" s="192"/>
      <c r="W258" s="192"/>
      <c r="X258" s="192"/>
      <c r="Y258" s="192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89"/>
      <c r="AK258" s="189"/>
      <c r="AL258" s="189"/>
      <c r="AM258" s="189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</row>
    <row r="259" spans="1:58" s="130" customFormat="1" ht="14.25" x14ac:dyDescent="0.2">
      <c r="B259" s="1244"/>
      <c r="C259" s="1396"/>
      <c r="D259" s="1235"/>
      <c r="E259" s="1397"/>
      <c r="F259" s="1397"/>
      <c r="G259" s="1397"/>
      <c r="H259" s="1235"/>
      <c r="I259" s="1235"/>
      <c r="J259" s="1235"/>
      <c r="K259" s="1235"/>
      <c r="L259" s="1235"/>
      <c r="M259" s="1235"/>
      <c r="N259" s="190"/>
      <c r="O259" s="190"/>
      <c r="P259" s="190"/>
      <c r="Q259" s="190"/>
      <c r="R259" s="190"/>
      <c r="S259" s="190"/>
      <c r="T259" s="190"/>
      <c r="U259" s="192"/>
      <c r="V259" s="192"/>
      <c r="W259" s="192"/>
      <c r="X259" s="192"/>
      <c r="Y259" s="192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89"/>
      <c r="AK259" s="189"/>
      <c r="AL259" s="189"/>
      <c r="AM259" s="189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</row>
    <row r="260" spans="1:58" s="130" customFormat="1" ht="60" x14ac:dyDescent="0.2">
      <c r="A260" s="151" t="s">
        <v>358</v>
      </c>
      <c r="B260" s="1345" t="s">
        <v>897</v>
      </c>
      <c r="C260" s="1346" t="s">
        <v>582</v>
      </c>
      <c r="D260" s="1346" t="s">
        <v>327</v>
      </c>
      <c r="E260" s="1346" t="s">
        <v>330</v>
      </c>
      <c r="F260" s="1346" t="s">
        <v>329</v>
      </c>
      <c r="G260" s="1346" t="s">
        <v>337</v>
      </c>
      <c r="H260" s="1346" t="s">
        <v>338</v>
      </c>
      <c r="I260" s="1398"/>
      <c r="J260" s="1235"/>
      <c r="K260" s="1235"/>
      <c r="L260" s="1235"/>
      <c r="M260" s="1235"/>
      <c r="N260" s="190"/>
      <c r="O260" s="190"/>
      <c r="P260" s="190"/>
      <c r="Q260" s="190"/>
      <c r="R260" s="190"/>
      <c r="S260" s="190"/>
      <c r="T260" s="190"/>
      <c r="U260" s="192"/>
      <c r="V260" s="192"/>
      <c r="W260" s="192"/>
      <c r="X260" s="192"/>
      <c r="Y260" s="192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89"/>
      <c r="AK260" s="189"/>
      <c r="AL260" s="189"/>
      <c r="AM260" s="189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</row>
    <row r="261" spans="1:58" ht="14.25" x14ac:dyDescent="0.2">
      <c r="A261" s="150" t="s">
        <v>359</v>
      </c>
      <c r="B261" s="1399" t="s">
        <v>326</v>
      </c>
      <c r="C261" s="1400">
        <v>0</v>
      </c>
      <c r="D261" s="1401">
        <v>18.5</v>
      </c>
      <c r="E261" s="1402">
        <v>15000</v>
      </c>
      <c r="F261" s="1402">
        <v>20000</v>
      </c>
      <c r="G261" s="1392">
        <v>1</v>
      </c>
      <c r="H261" s="1392">
        <v>1</v>
      </c>
      <c r="I261" s="1239"/>
      <c r="J261" s="1239"/>
      <c r="K261" s="1239"/>
      <c r="L261" s="1239"/>
      <c r="M261" s="1239"/>
      <c r="N261" s="193"/>
      <c r="O261" s="193"/>
      <c r="P261" s="193"/>
      <c r="Q261" s="193"/>
      <c r="R261" s="193"/>
      <c r="S261" s="193"/>
      <c r="T261" s="193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</row>
    <row r="262" spans="1:58" ht="14.25" x14ac:dyDescent="0.2">
      <c r="B262" s="1319"/>
      <c r="C262" s="1403"/>
      <c r="D262" s="1239"/>
      <c r="E262" s="1239"/>
      <c r="F262" s="1239"/>
      <c r="G262" s="1239"/>
      <c r="H262" s="1239"/>
      <c r="I262" s="1239"/>
      <c r="J262" s="1239"/>
      <c r="K262" s="1239"/>
      <c r="L262" s="1239"/>
      <c r="M262" s="1239"/>
      <c r="N262" s="193"/>
      <c r="O262" s="193"/>
      <c r="P262" s="193"/>
      <c r="Q262" s="193"/>
      <c r="R262" s="193"/>
      <c r="S262" s="193"/>
      <c r="T262" s="193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</row>
    <row r="263" spans="1:58" ht="105" x14ac:dyDescent="0.2">
      <c r="A263" s="151" t="s">
        <v>358</v>
      </c>
      <c r="B263" s="1404" t="s">
        <v>895</v>
      </c>
      <c r="C263" s="1405" t="s">
        <v>582</v>
      </c>
      <c r="D263" s="1405" t="s">
        <v>836</v>
      </c>
      <c r="E263" s="1405" t="s">
        <v>587</v>
      </c>
      <c r="F263" s="1406" t="s">
        <v>885</v>
      </c>
      <c r="G263" s="1405" t="s">
        <v>777</v>
      </c>
      <c r="H263" s="1405" t="s">
        <v>599</v>
      </c>
      <c r="I263" s="1405" t="s">
        <v>778</v>
      </c>
      <c r="J263" s="1407"/>
      <c r="K263" s="862"/>
      <c r="L263" s="862"/>
      <c r="M263" s="862"/>
      <c r="N263" s="193"/>
      <c r="O263" s="193"/>
      <c r="P263" s="193"/>
      <c r="Q263" s="193"/>
      <c r="R263" s="193"/>
      <c r="S263" s="193"/>
      <c r="T263" s="193"/>
      <c r="U263" s="193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</row>
    <row r="264" spans="1:58" ht="14.25" x14ac:dyDescent="0.2">
      <c r="B264" s="1408" t="s">
        <v>323</v>
      </c>
      <c r="C264" s="1408">
        <v>422.95</v>
      </c>
      <c r="D264" s="1409">
        <v>0</v>
      </c>
      <c r="E264" s="1409">
        <v>225.89</v>
      </c>
      <c r="F264" s="1410"/>
      <c r="G264" s="1411">
        <v>0</v>
      </c>
      <c r="H264" s="1411">
        <v>0</v>
      </c>
      <c r="I264" s="1411">
        <v>0</v>
      </c>
      <c r="J264" s="1407"/>
      <c r="K264" s="862"/>
      <c r="L264" s="862"/>
      <c r="M264" s="862"/>
      <c r="N264" s="193"/>
      <c r="O264" s="193"/>
      <c r="P264" s="193"/>
      <c r="Q264" s="193"/>
      <c r="R264" s="193"/>
      <c r="S264" s="193"/>
      <c r="T264" s="193"/>
      <c r="U264" s="193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</row>
    <row r="265" spans="1:58" ht="14.25" x14ac:dyDescent="0.2">
      <c r="B265" s="1408" t="s">
        <v>324</v>
      </c>
      <c r="C265" s="1408"/>
      <c r="D265" s="1409">
        <v>0</v>
      </c>
      <c r="E265" s="1409">
        <v>0</v>
      </c>
      <c r="F265" s="1410"/>
      <c r="G265" s="1411">
        <v>0</v>
      </c>
      <c r="H265" s="1411">
        <v>0</v>
      </c>
      <c r="I265" s="1411">
        <v>0</v>
      </c>
      <c r="J265" s="1407"/>
      <c r="K265" s="862"/>
      <c r="L265" s="862"/>
      <c r="M265" s="862"/>
      <c r="N265" s="193"/>
      <c r="O265" s="193"/>
      <c r="P265" s="193"/>
      <c r="Q265" s="193"/>
      <c r="R265" s="193"/>
      <c r="S265" s="193"/>
      <c r="T265" s="193"/>
      <c r="U265" s="193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</row>
    <row r="266" spans="1:58" ht="14.25" x14ac:dyDescent="0.2">
      <c r="B266" s="1408" t="s">
        <v>325</v>
      </c>
      <c r="C266" s="1408"/>
      <c r="D266" s="1412">
        <v>0</v>
      </c>
      <c r="E266" s="1412">
        <v>0</v>
      </c>
      <c r="F266" s="1413"/>
      <c r="G266" s="1409">
        <v>0</v>
      </c>
      <c r="H266" s="1409">
        <v>0</v>
      </c>
      <c r="I266" s="1409">
        <v>0</v>
      </c>
      <c r="J266" s="862"/>
      <c r="K266" s="862"/>
      <c r="L266" s="862"/>
      <c r="M266" s="862"/>
      <c r="N266" s="193"/>
      <c r="O266" s="193"/>
      <c r="P266" s="193"/>
      <c r="Q266" s="193"/>
      <c r="R266" s="193"/>
      <c r="S266" s="193"/>
      <c r="T266" s="193"/>
      <c r="U266" s="193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</row>
    <row r="267" spans="1:58" ht="14.25" x14ac:dyDescent="0.2">
      <c r="B267" s="1408" t="s">
        <v>326</v>
      </c>
      <c r="C267" s="1408"/>
      <c r="D267" s="1412">
        <v>0</v>
      </c>
      <c r="E267" s="1412">
        <v>0</v>
      </c>
      <c r="F267" s="1414"/>
      <c r="G267" s="1415">
        <v>0</v>
      </c>
      <c r="H267" s="1415">
        <v>0</v>
      </c>
      <c r="I267" s="1415">
        <v>0</v>
      </c>
      <c r="J267" s="862"/>
      <c r="K267" s="862"/>
      <c r="L267" s="862"/>
      <c r="M267" s="862"/>
      <c r="N267" s="193"/>
      <c r="O267" s="193"/>
      <c r="P267" s="193"/>
      <c r="Q267" s="193"/>
      <c r="R267" s="193"/>
      <c r="S267" s="193"/>
      <c r="T267" s="193"/>
      <c r="U267" s="193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</row>
    <row r="268" spans="1:58" ht="15" thickBot="1" x14ac:dyDescent="0.25">
      <c r="B268" s="1416"/>
      <c r="C268" s="1416"/>
      <c r="D268" s="1417"/>
      <c r="E268" s="1418"/>
      <c r="F268" s="1419"/>
      <c r="G268" s="1420"/>
      <c r="H268" s="1420"/>
      <c r="I268" s="1420"/>
      <c r="J268" s="1407"/>
      <c r="K268" s="862"/>
      <c r="L268" s="862"/>
      <c r="M268" s="862"/>
      <c r="N268" s="193"/>
      <c r="O268" s="193"/>
      <c r="P268" s="193"/>
      <c r="Q268" s="193"/>
      <c r="R268" s="193"/>
      <c r="S268" s="193"/>
      <c r="T268" s="193"/>
      <c r="U268" s="193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</row>
    <row r="269" spans="1:58" ht="15.75" thickBot="1" x14ac:dyDescent="0.3">
      <c r="B269" s="1408" t="s">
        <v>605</v>
      </c>
      <c r="C269" s="1408"/>
      <c r="D269" s="1412"/>
      <c r="E269" s="1418"/>
      <c r="F269" s="1421">
        <v>33.33</v>
      </c>
      <c r="G269" s="1411">
        <v>800</v>
      </c>
      <c r="H269" s="1409">
        <v>0</v>
      </c>
      <c r="I269" s="1410">
        <v>800</v>
      </c>
      <c r="J269" s="1422" t="s">
        <v>818</v>
      </c>
      <c r="K269" s="1423">
        <v>100</v>
      </c>
      <c r="L269" s="1424" t="s">
        <v>468</v>
      </c>
      <c r="M269" s="862"/>
      <c r="N269" s="193"/>
      <c r="O269" s="193"/>
      <c r="P269" s="193"/>
      <c r="Q269" s="193"/>
      <c r="R269" s="193"/>
      <c r="S269" s="193"/>
      <c r="T269" s="193"/>
      <c r="U269" s="193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</row>
    <row r="270" spans="1:58" ht="14.25" x14ac:dyDescent="0.2">
      <c r="B270" s="1425"/>
      <c r="C270" s="993"/>
      <c r="D270" s="862"/>
      <c r="E270" s="862"/>
      <c r="F270" s="862"/>
      <c r="G270" s="862"/>
      <c r="H270" s="1426"/>
      <c r="I270" s="1427"/>
      <c r="J270" s="1427"/>
      <c r="K270" s="862"/>
      <c r="L270" s="862"/>
      <c r="M270" s="862"/>
      <c r="N270" s="193"/>
      <c r="O270" s="193"/>
      <c r="P270" s="193"/>
      <c r="Q270" s="193"/>
      <c r="R270" s="193"/>
      <c r="S270" s="193"/>
      <c r="T270" s="193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</row>
    <row r="271" spans="1:58" ht="75" x14ac:dyDescent="0.2">
      <c r="A271" s="151" t="s">
        <v>358</v>
      </c>
      <c r="B271" s="1404" t="s">
        <v>331</v>
      </c>
      <c r="C271" s="1405" t="s">
        <v>743</v>
      </c>
      <c r="D271" s="1406" t="s">
        <v>327</v>
      </c>
      <c r="E271" s="862"/>
      <c r="F271" s="862"/>
      <c r="G271" s="1407"/>
      <c r="H271" s="1425"/>
      <c r="I271" s="862"/>
      <c r="J271" s="862"/>
      <c r="K271" s="862"/>
      <c r="L271" s="862"/>
      <c r="M271" s="862"/>
      <c r="N271" s="193"/>
      <c r="O271" s="193"/>
      <c r="P271" s="193"/>
      <c r="Q271" s="193"/>
      <c r="R271" s="193"/>
      <c r="S271" s="193"/>
      <c r="T271" s="193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</row>
    <row r="272" spans="1:58" ht="14.25" x14ac:dyDescent="0.2">
      <c r="A272" s="136"/>
      <c r="B272" s="1408" t="s">
        <v>744</v>
      </c>
      <c r="C272" s="1409"/>
      <c r="D272" s="1428"/>
      <c r="E272" s="1425"/>
      <c r="F272" s="862"/>
      <c r="G272" s="862"/>
      <c r="H272" s="1425"/>
      <c r="I272" s="862"/>
      <c r="J272" s="862"/>
      <c r="K272" s="862"/>
      <c r="L272" s="862"/>
      <c r="M272" s="862"/>
      <c r="N272" s="193"/>
      <c r="O272" s="193"/>
      <c r="P272" s="193"/>
      <c r="Q272" s="193"/>
      <c r="R272" s="193"/>
      <c r="S272" s="193"/>
      <c r="T272" s="193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</row>
    <row r="273" spans="1:39" ht="14.25" x14ac:dyDescent="0.2">
      <c r="A273" s="136"/>
      <c r="B273" s="1408" t="s">
        <v>325</v>
      </c>
      <c r="C273" s="1412"/>
      <c r="D273" s="1418"/>
      <c r="E273" s="862"/>
      <c r="F273" s="862"/>
      <c r="G273" s="1429"/>
      <c r="H273" s="862"/>
      <c r="I273" s="1407"/>
      <c r="J273" s="862"/>
      <c r="K273" s="862"/>
      <c r="L273" s="862"/>
      <c r="M273" s="862"/>
      <c r="N273" s="193"/>
      <c r="O273" s="193"/>
      <c r="P273" s="193"/>
      <c r="Q273" s="193"/>
      <c r="R273" s="193"/>
      <c r="S273" s="193"/>
      <c r="T273" s="193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</row>
    <row r="274" spans="1:39" x14ac:dyDescent="0.2">
      <c r="B274" s="1430"/>
      <c r="C274" s="1431"/>
      <c r="D274" s="1175"/>
      <c r="E274" s="1175"/>
      <c r="F274" s="1175"/>
      <c r="G274" s="1175"/>
      <c r="H274" s="1175"/>
      <c r="I274" s="1175"/>
      <c r="J274" s="1432"/>
      <c r="K274" s="1175"/>
      <c r="L274" s="1175"/>
      <c r="M274" s="1175"/>
    </row>
    <row r="275" spans="1:39" x14ac:dyDescent="0.2">
      <c r="B275" s="1430"/>
      <c r="C275" s="1431"/>
      <c r="D275" s="1175"/>
      <c r="E275" s="1175"/>
      <c r="F275" s="1175"/>
      <c r="G275" s="1175"/>
      <c r="H275" s="1175"/>
      <c r="I275" s="1175"/>
      <c r="J275" s="1175"/>
      <c r="K275" s="1175"/>
      <c r="L275" s="1175"/>
      <c r="M275" s="1175"/>
    </row>
    <row r="276" spans="1:39" x14ac:dyDescent="0.2">
      <c r="B276" s="1430"/>
      <c r="C276" s="1433"/>
      <c r="D276" s="1175"/>
      <c r="E276" s="1175"/>
      <c r="F276" s="1175"/>
      <c r="G276" s="1175"/>
      <c r="H276" s="1432"/>
      <c r="I276" s="1175"/>
      <c r="J276" s="1175"/>
      <c r="K276" s="1175"/>
      <c r="L276" s="1175"/>
      <c r="M276" s="1175"/>
    </row>
    <row r="277" spans="1:39" x14ac:dyDescent="0.2">
      <c r="B277" s="1434"/>
      <c r="C277" s="1431"/>
      <c r="D277" s="1175"/>
      <c r="E277" s="1175"/>
      <c r="F277" s="1175"/>
      <c r="G277" s="1175"/>
      <c r="H277" s="1175"/>
      <c r="I277" s="1175"/>
      <c r="J277" s="1175"/>
      <c r="K277" s="1175"/>
      <c r="L277" s="1175"/>
      <c r="M277" s="1175"/>
    </row>
    <row r="278" spans="1:39" x14ac:dyDescent="0.2">
      <c r="B278" s="1434"/>
      <c r="C278" s="1431"/>
      <c r="D278" s="1175"/>
      <c r="E278" s="1175"/>
      <c r="F278" s="1175"/>
      <c r="G278" s="1175"/>
      <c r="H278" s="1175"/>
      <c r="I278" s="1175"/>
      <c r="J278" s="1175"/>
      <c r="K278" s="1175"/>
      <c r="L278" s="1175"/>
      <c r="M278" s="1175"/>
    </row>
    <row r="279" spans="1:39" x14ac:dyDescent="0.2">
      <c r="B279" s="1434"/>
      <c r="C279" s="1431"/>
      <c r="D279" s="1175"/>
      <c r="E279" s="1175"/>
      <c r="F279" s="1175"/>
      <c r="G279" s="1175"/>
      <c r="H279" s="1175"/>
      <c r="I279" s="1175"/>
      <c r="J279" s="1175"/>
      <c r="K279" s="1175"/>
      <c r="L279" s="1175"/>
      <c r="M279" s="1175"/>
    </row>
  </sheetData>
  <sheetProtection algorithmName="SHA-512" hashValue="BUkQUdrE71Wrsy67OdC9shTgRvJIgeyQkzorRl7+EUucHoGbDf7Ly12YU0KG0Ekyhs/1PkIY1TUILWiuF3zuSQ==" saltValue="dNl8hAhZQoa/G/Y3A18+sA==" spinCount="100000" sheet="1" objects="1" scenarios="1"/>
  <mergeCells count="37">
    <mergeCell ref="C34:G34"/>
    <mergeCell ref="H34:L34"/>
    <mergeCell ref="C40:G40"/>
    <mergeCell ref="C28:G28"/>
    <mergeCell ref="H28:L28"/>
    <mergeCell ref="F29:G29"/>
    <mergeCell ref="F30:G30"/>
    <mergeCell ref="F31:G31"/>
    <mergeCell ref="F32:G32"/>
    <mergeCell ref="F33:G33"/>
    <mergeCell ref="D80:E80"/>
    <mergeCell ref="D79:G79"/>
    <mergeCell ref="D76:G76"/>
    <mergeCell ref="D77:G77"/>
    <mergeCell ref="D78:G78"/>
    <mergeCell ref="R27:S27"/>
    <mergeCell ref="K27:L27"/>
    <mergeCell ref="F27:G27"/>
    <mergeCell ref="R23:S23"/>
    <mergeCell ref="R24:S24"/>
    <mergeCell ref="R25:S25"/>
    <mergeCell ref="R26:S26"/>
    <mergeCell ref="K23:L23"/>
    <mergeCell ref="K24:L24"/>
    <mergeCell ref="K25:L25"/>
    <mergeCell ref="K26:L26"/>
    <mergeCell ref="F23:G23"/>
    <mergeCell ref="F24:G24"/>
    <mergeCell ref="F26:G26"/>
    <mergeCell ref="AI22:AM22"/>
    <mergeCell ref="AN22:AR22"/>
    <mergeCell ref="C22:G22"/>
    <mergeCell ref="H22:L22"/>
    <mergeCell ref="O22:S22"/>
    <mergeCell ref="T22:X22"/>
    <mergeCell ref="Y22:AC22"/>
    <mergeCell ref="AD22:AH22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0" firstPageNumber="0" fitToHeight="0" orientation="landscape" r:id="rId1"/>
  <headerFooter alignWithMargins="0"/>
  <rowBreaks count="1" manualBreakCount="1">
    <brk id="248" min="1" max="12" man="1"/>
  </rowBreaks>
  <ignoredErrors>
    <ignoredError sqref="C186:D186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N78"/>
  <sheetViews>
    <sheetView showGridLines="0" topLeftCell="A1048576" zoomScaleNormal="100" zoomScaleSheetLayoutView="100" workbookViewId="0">
      <selection activeCell="C10" sqref="C10"/>
    </sheetView>
  </sheetViews>
  <sheetFormatPr defaultColWidth="0" defaultRowHeight="13.5" zeroHeight="1" x14ac:dyDescent="0.2"/>
  <cols>
    <col min="1" max="1" width="14.28515625" style="706" customWidth="1"/>
    <col min="2" max="2" width="70.28515625" style="156" customWidth="1"/>
    <col min="3" max="3" width="13.7109375" style="156" customWidth="1"/>
    <col min="4" max="4" width="18.7109375" style="706" customWidth="1"/>
    <col min="5" max="5" width="47.140625" style="706" customWidth="1"/>
    <col min="6" max="6" width="25" style="706" hidden="1" customWidth="1"/>
    <col min="7" max="7" width="11.42578125" style="156" hidden="1" customWidth="1"/>
    <col min="8" max="8" width="20.42578125" style="156" hidden="1" customWidth="1"/>
    <col min="9" max="9" width="23.7109375" style="156" hidden="1" customWidth="1"/>
    <col min="10" max="10" width="23.140625" style="156" hidden="1" customWidth="1"/>
    <col min="11" max="14" width="0" style="156" hidden="1" customWidth="1"/>
    <col min="15" max="16384" width="11.42578125" style="156" hidden="1"/>
  </cols>
  <sheetData>
    <row r="1" spans="1:10" x14ac:dyDescent="0.2">
      <c r="A1" s="705"/>
      <c r="F1" s="705"/>
    </row>
    <row r="2" spans="1:10" x14ac:dyDescent="0.2">
      <c r="F2" s="707"/>
    </row>
    <row r="3" spans="1:10" x14ac:dyDescent="0.2"/>
    <row r="4" spans="1:10" x14ac:dyDescent="0.2">
      <c r="F4" s="707"/>
    </row>
    <row r="5" spans="1:10" x14ac:dyDescent="0.2">
      <c r="B5" s="708"/>
      <c r="F5" s="707"/>
      <c r="H5" s="709"/>
      <c r="I5" s="157"/>
      <c r="J5" s="157"/>
    </row>
    <row r="6" spans="1:10" x14ac:dyDescent="0.2">
      <c r="B6" s="708"/>
      <c r="F6" s="707"/>
      <c r="H6" s="709"/>
      <c r="I6" s="157"/>
      <c r="J6" s="157"/>
    </row>
    <row r="7" spans="1:10" ht="11.25" customHeight="1" thickBot="1" x14ac:dyDescent="0.25">
      <c r="A7" s="812" t="s">
        <v>934</v>
      </c>
      <c r="B7" s="812"/>
      <c r="C7" s="812"/>
      <c r="D7" s="812"/>
      <c r="E7" s="812"/>
      <c r="H7" s="710"/>
      <c r="I7" s="158"/>
      <c r="J7" s="158"/>
    </row>
    <row r="8" spans="1:10" ht="16.5" customHeight="1" thickBot="1" x14ac:dyDescent="0.25">
      <c r="A8" s="711" t="s">
        <v>150</v>
      </c>
      <c r="B8" s="225" t="s">
        <v>151</v>
      </c>
      <c r="C8" s="225" t="s">
        <v>9</v>
      </c>
      <c r="D8" s="225" t="s">
        <v>168</v>
      </c>
      <c r="E8" s="225" t="s">
        <v>156</v>
      </c>
      <c r="F8" s="157"/>
      <c r="H8" s="710"/>
      <c r="I8" s="158"/>
      <c r="J8" s="158"/>
    </row>
    <row r="9" spans="1:10" ht="16.5" customHeight="1" x14ac:dyDescent="0.2">
      <c r="A9" s="738">
        <v>1</v>
      </c>
      <c r="B9" s="743" t="s">
        <v>685</v>
      </c>
      <c r="C9" s="744"/>
      <c r="D9" s="744"/>
      <c r="E9" s="745"/>
      <c r="F9" s="157"/>
      <c r="H9" s="710"/>
      <c r="I9" s="158"/>
      <c r="J9" s="158"/>
    </row>
    <row r="10" spans="1:10" ht="16.5" customHeight="1" x14ac:dyDescent="0.2">
      <c r="A10" s="197" t="s">
        <v>88</v>
      </c>
      <c r="B10" s="231" t="s">
        <v>41</v>
      </c>
      <c r="C10" s="197" t="s">
        <v>4</v>
      </c>
      <c r="D10" s="848">
        <f>'11. ORÇ. EPI'!G9</f>
        <v>81.787999999999997</v>
      </c>
      <c r="E10" s="197" t="s">
        <v>167</v>
      </c>
      <c r="F10" s="712"/>
      <c r="H10" s="710"/>
      <c r="I10" s="158"/>
      <c r="J10" s="712"/>
    </row>
    <row r="11" spans="1:10" ht="16.5" customHeight="1" x14ac:dyDescent="0.2">
      <c r="A11" s="197" t="s">
        <v>89</v>
      </c>
      <c r="B11" s="231" t="s">
        <v>42</v>
      </c>
      <c r="C11" s="197" t="s">
        <v>4</v>
      </c>
      <c r="D11" s="848">
        <f>'11. ORÇ. EPI'!G10</f>
        <v>35.25</v>
      </c>
      <c r="E11" s="197" t="s">
        <v>167</v>
      </c>
      <c r="F11" s="712"/>
    </row>
    <row r="12" spans="1:10" ht="16.5" customHeight="1" x14ac:dyDescent="0.2">
      <c r="A12" s="197" t="s">
        <v>90</v>
      </c>
      <c r="B12" s="231" t="s">
        <v>43</v>
      </c>
      <c r="C12" s="197" t="s">
        <v>4</v>
      </c>
      <c r="D12" s="848">
        <f>'11. ORÇ. EPI'!G11</f>
        <v>70.696666666666673</v>
      </c>
      <c r="E12" s="197" t="s">
        <v>167</v>
      </c>
      <c r="F12" s="712"/>
    </row>
    <row r="13" spans="1:10" ht="16.5" customHeight="1" x14ac:dyDescent="0.2">
      <c r="A13" s="197" t="s">
        <v>74</v>
      </c>
      <c r="B13" s="231" t="s">
        <v>46</v>
      </c>
      <c r="C13" s="197" t="s">
        <v>4</v>
      </c>
      <c r="D13" s="848">
        <f>'11. ORÇ. EPI'!G12</f>
        <v>13.563333333333333</v>
      </c>
      <c r="E13" s="197" t="s">
        <v>167</v>
      </c>
      <c r="F13" s="712"/>
    </row>
    <row r="14" spans="1:10" ht="16.5" customHeight="1" x14ac:dyDescent="0.2">
      <c r="A14" s="197" t="s">
        <v>612</v>
      </c>
      <c r="B14" s="231" t="s">
        <v>44</v>
      </c>
      <c r="C14" s="197" t="s">
        <v>4</v>
      </c>
      <c r="D14" s="848">
        <f>'11. ORÇ. EPI'!G15</f>
        <v>23.113333333333333</v>
      </c>
      <c r="E14" s="197" t="s">
        <v>167</v>
      </c>
      <c r="F14" s="712"/>
      <c r="G14" s="707"/>
    </row>
    <row r="15" spans="1:10" ht="16.5" customHeight="1" x14ac:dyDescent="0.2">
      <c r="A15" s="197" t="s">
        <v>613</v>
      </c>
      <c r="B15" s="231" t="s">
        <v>84</v>
      </c>
      <c r="C15" s="197" t="s">
        <v>4</v>
      </c>
      <c r="D15" s="848">
        <f>'11. ORÇ. EPI'!G16</f>
        <v>98.023333333333326</v>
      </c>
      <c r="E15" s="197" t="s">
        <v>167</v>
      </c>
      <c r="F15" s="712"/>
    </row>
    <row r="16" spans="1:10" ht="16.5" customHeight="1" x14ac:dyDescent="0.2">
      <c r="A16" s="197" t="s">
        <v>614</v>
      </c>
      <c r="B16" s="231" t="s">
        <v>47</v>
      </c>
      <c r="C16" s="197" t="s">
        <v>4</v>
      </c>
      <c r="D16" s="848">
        <f>'11. ORÇ. EPI'!G18</f>
        <v>14.2325</v>
      </c>
      <c r="E16" s="197" t="s">
        <v>167</v>
      </c>
      <c r="F16" s="712"/>
      <c r="G16" s="705"/>
    </row>
    <row r="17" spans="1:9" ht="16.5" customHeight="1" x14ac:dyDescent="0.2">
      <c r="A17" s="197" t="s">
        <v>802</v>
      </c>
      <c r="B17" s="231" t="s">
        <v>116</v>
      </c>
      <c r="C17" s="197" t="s">
        <v>4</v>
      </c>
      <c r="D17" s="848">
        <f>'11. ORÇ. EPI'!G13</f>
        <v>6.7633333333333328</v>
      </c>
      <c r="E17" s="197" t="s">
        <v>167</v>
      </c>
      <c r="F17" s="712"/>
      <c r="G17" s="705"/>
    </row>
    <row r="18" spans="1:9" ht="16.5" customHeight="1" x14ac:dyDescent="0.2">
      <c r="A18" s="197" t="s">
        <v>683</v>
      </c>
      <c r="B18" s="231" t="s">
        <v>117</v>
      </c>
      <c r="C18" s="197" t="s">
        <v>4</v>
      </c>
      <c r="D18" s="848">
        <f>'11. ORÇ. EPI'!G14</f>
        <v>26.297499999999999</v>
      </c>
      <c r="E18" s="197" t="s">
        <v>167</v>
      </c>
      <c r="F18" s="712"/>
      <c r="G18" s="705"/>
    </row>
    <row r="19" spans="1:9" ht="16.5" customHeight="1" x14ac:dyDescent="0.2">
      <c r="A19" s="197" t="s">
        <v>684</v>
      </c>
      <c r="B19" s="231" t="s">
        <v>152</v>
      </c>
      <c r="C19" s="197" t="s">
        <v>4</v>
      </c>
      <c r="D19" s="848">
        <f>'11. ORÇ. EPI'!G19</f>
        <v>4.5749999999999993</v>
      </c>
      <c r="E19" s="197" t="s">
        <v>167</v>
      </c>
      <c r="F19" s="712"/>
      <c r="G19" s="705"/>
    </row>
    <row r="20" spans="1:9" ht="16.5" customHeight="1" x14ac:dyDescent="0.2">
      <c r="A20" s="738">
        <v>2</v>
      </c>
      <c r="B20" s="743" t="s">
        <v>154</v>
      </c>
      <c r="C20" s="744"/>
      <c r="D20" s="849"/>
      <c r="E20" s="745"/>
      <c r="F20" s="705"/>
    </row>
    <row r="21" spans="1:9" ht="16.5" customHeight="1" x14ac:dyDescent="0.2">
      <c r="A21" s="197" t="s">
        <v>91</v>
      </c>
      <c r="B21" s="231" t="s">
        <v>153</v>
      </c>
      <c r="C21" s="197" t="s">
        <v>681</v>
      </c>
      <c r="D21" s="848">
        <v>1412</v>
      </c>
      <c r="E21" s="713" t="s">
        <v>867</v>
      </c>
      <c r="F21" s="712"/>
    </row>
    <row r="22" spans="1:9" ht="16.5" customHeight="1" x14ac:dyDescent="0.2">
      <c r="A22" s="197" t="s">
        <v>93</v>
      </c>
      <c r="B22" s="231" t="s">
        <v>675</v>
      </c>
      <c r="C22" s="197" t="s">
        <v>681</v>
      </c>
      <c r="D22" s="848">
        <f>(2184*6.97%)+2184</f>
        <v>2336.2248</v>
      </c>
      <c r="E22" s="713" t="s">
        <v>155</v>
      </c>
      <c r="F22" s="705"/>
    </row>
    <row r="23" spans="1:9" ht="16.5" customHeight="1" x14ac:dyDescent="0.2">
      <c r="A23" s="197" t="s">
        <v>688</v>
      </c>
      <c r="B23" s="231" t="s">
        <v>742</v>
      </c>
      <c r="C23" s="197" t="s">
        <v>681</v>
      </c>
      <c r="D23" s="848">
        <f>(1521*6.97%)+1521</f>
        <v>1627.0137</v>
      </c>
      <c r="E23" s="713" t="s">
        <v>155</v>
      </c>
      <c r="F23" s="705"/>
      <c r="G23" s="714"/>
    </row>
    <row r="24" spans="1:9" ht="16.5" customHeight="1" x14ac:dyDescent="0.2">
      <c r="A24" s="209" t="s">
        <v>689</v>
      </c>
      <c r="B24" s="715" t="s">
        <v>279</v>
      </c>
      <c r="C24" s="209" t="s">
        <v>681</v>
      </c>
      <c r="D24" s="848">
        <f>(1521*6.97%)+1521</f>
        <v>1627.0137</v>
      </c>
      <c r="E24" s="716"/>
      <c r="F24" s="705"/>
      <c r="G24" s="717"/>
      <c r="I24" s="718"/>
    </row>
    <row r="25" spans="1:9" ht="16.5" customHeight="1" x14ac:dyDescent="0.2">
      <c r="A25" s="209" t="s">
        <v>690</v>
      </c>
      <c r="B25" s="715" t="s">
        <v>282</v>
      </c>
      <c r="C25" s="209" t="s">
        <v>681</v>
      </c>
      <c r="D25" s="848">
        <f>(1521*6.97%)+1521</f>
        <v>1627.0137</v>
      </c>
      <c r="E25" s="716"/>
      <c r="F25" s="714"/>
      <c r="G25" s="714"/>
      <c r="H25" s="718"/>
    </row>
    <row r="26" spans="1:9" ht="16.5" customHeight="1" x14ac:dyDescent="0.2">
      <c r="A26" s="197" t="s">
        <v>691</v>
      </c>
      <c r="B26" s="231" t="s">
        <v>27</v>
      </c>
      <c r="C26" s="197" t="s">
        <v>681</v>
      </c>
      <c r="D26" s="848">
        <v>0</v>
      </c>
      <c r="E26" s="713"/>
      <c r="F26" s="712"/>
    </row>
    <row r="27" spans="1:9" ht="16.5" customHeight="1" x14ac:dyDescent="0.2">
      <c r="A27" s="197" t="s">
        <v>692</v>
      </c>
      <c r="B27" s="231" t="s">
        <v>904</v>
      </c>
      <c r="C27" s="197" t="s">
        <v>681</v>
      </c>
      <c r="D27" s="848">
        <v>327.45</v>
      </c>
      <c r="E27" s="713" t="s">
        <v>155</v>
      </c>
      <c r="F27" s="712"/>
      <c r="G27" s="718"/>
    </row>
    <row r="28" spans="1:9" ht="16.5" customHeight="1" x14ac:dyDescent="0.2">
      <c r="A28" s="197" t="s">
        <v>693</v>
      </c>
      <c r="B28" s="231" t="s">
        <v>903</v>
      </c>
      <c r="C28" s="197" t="s">
        <v>681</v>
      </c>
      <c r="D28" s="848">
        <v>327.45</v>
      </c>
      <c r="E28" s="713"/>
      <c r="F28" s="712"/>
      <c r="G28" s="718"/>
    </row>
    <row r="29" spans="1:9" ht="16.5" customHeight="1" x14ac:dyDescent="0.2">
      <c r="A29" s="197" t="s">
        <v>905</v>
      </c>
      <c r="B29" s="231" t="s">
        <v>637</v>
      </c>
      <c r="C29" s="197" t="s">
        <v>681</v>
      </c>
      <c r="D29" s="848">
        <v>40</v>
      </c>
      <c r="E29" s="713" t="s">
        <v>167</v>
      </c>
      <c r="F29" s="712"/>
      <c r="G29" s="718"/>
    </row>
    <row r="30" spans="1:9" ht="16.5" customHeight="1" x14ac:dyDescent="0.2">
      <c r="A30" s="738">
        <v>3</v>
      </c>
      <c r="B30" s="743" t="s">
        <v>686</v>
      </c>
      <c r="C30" s="744"/>
      <c r="D30" s="849"/>
      <c r="E30" s="745"/>
      <c r="F30" s="712"/>
      <c r="G30" s="718"/>
    </row>
    <row r="31" spans="1:9" ht="16.5" customHeight="1" x14ac:dyDescent="0.2">
      <c r="A31" s="197" t="s">
        <v>109</v>
      </c>
      <c r="B31" s="231" t="s">
        <v>54</v>
      </c>
      <c r="C31" s="197" t="s">
        <v>311</v>
      </c>
      <c r="D31" s="850">
        <v>6.29</v>
      </c>
      <c r="E31" s="659" t="s">
        <v>731</v>
      </c>
      <c r="F31" s="719"/>
      <c r="G31" s="718"/>
    </row>
    <row r="32" spans="1:9" ht="16.5" customHeight="1" x14ac:dyDescent="0.2">
      <c r="A32" s="197" t="s">
        <v>694</v>
      </c>
      <c r="B32" s="739" t="s">
        <v>55</v>
      </c>
      <c r="C32" s="740" t="s">
        <v>311</v>
      </c>
      <c r="D32" s="851"/>
      <c r="E32" s="746" t="s">
        <v>731</v>
      </c>
      <c r="F32" s="720"/>
      <c r="G32" s="718"/>
    </row>
    <row r="33" spans="1:14" ht="16.5" customHeight="1" x14ac:dyDescent="0.2">
      <c r="A33" s="738">
        <v>4</v>
      </c>
      <c r="B33" s="743" t="s">
        <v>687</v>
      </c>
      <c r="C33" s="744"/>
      <c r="D33" s="849"/>
      <c r="E33" s="745"/>
      <c r="F33" s="720"/>
      <c r="G33" s="718"/>
    </row>
    <row r="34" spans="1:14" ht="16.5" customHeight="1" x14ac:dyDescent="0.2">
      <c r="A34" s="721" t="s">
        <v>95</v>
      </c>
      <c r="B34" s="741" t="s">
        <v>760</v>
      </c>
      <c r="C34" s="742"/>
      <c r="D34" s="852"/>
      <c r="E34" s="742"/>
      <c r="F34" s="720"/>
      <c r="G34" s="718"/>
    </row>
    <row r="35" spans="1:14" ht="16.5" customHeight="1" x14ac:dyDescent="0.2">
      <c r="A35" s="197" t="s">
        <v>695</v>
      </c>
      <c r="B35" s="723" t="s">
        <v>644</v>
      </c>
      <c r="C35" s="197" t="s">
        <v>4</v>
      </c>
      <c r="D35" s="848">
        <f>'13. ORÇ. EQU. E VEÍCULOS'!D10</f>
        <v>234125</v>
      </c>
      <c r="E35" s="197" t="s">
        <v>630</v>
      </c>
      <c r="F35" s="720"/>
      <c r="G35" s="724"/>
      <c r="H35" s="725"/>
      <c r="I35" s="726"/>
      <c r="J35" s="727"/>
      <c r="K35" s="709"/>
      <c r="L35" s="709"/>
      <c r="M35" s="709"/>
      <c r="N35" s="709"/>
    </row>
    <row r="36" spans="1:14" ht="16.5" customHeight="1" x14ac:dyDescent="0.2">
      <c r="A36" s="197" t="s">
        <v>803</v>
      </c>
      <c r="B36" s="231" t="s">
        <v>643</v>
      </c>
      <c r="C36" s="197" t="s">
        <v>4</v>
      </c>
      <c r="D36" s="848">
        <f>'13. ORÇ. EQU. E VEÍCULOS'!D11</f>
        <v>81966.28</v>
      </c>
      <c r="E36" s="197" t="s">
        <v>167</v>
      </c>
      <c r="F36" s="712"/>
      <c r="G36" s="724"/>
      <c r="H36" s="725"/>
      <c r="I36" s="727"/>
      <c r="J36" s="709"/>
      <c r="K36" s="709"/>
      <c r="L36" s="709"/>
      <c r="M36" s="709"/>
      <c r="N36" s="709"/>
    </row>
    <row r="37" spans="1:14" ht="16.5" customHeight="1" x14ac:dyDescent="0.2">
      <c r="A37" s="197" t="s">
        <v>696</v>
      </c>
      <c r="B37" s="231" t="s">
        <v>304</v>
      </c>
      <c r="C37" s="197" t="s">
        <v>4</v>
      </c>
      <c r="D37" s="848">
        <f>'13. ORÇ. EQU. E VEÍCULOS'!D12</f>
        <v>6650.619999999999</v>
      </c>
      <c r="E37" s="197" t="s">
        <v>167</v>
      </c>
      <c r="F37" s="712"/>
      <c r="G37" s="712"/>
      <c r="H37" s="725"/>
      <c r="I37" s="727"/>
      <c r="J37" s="709"/>
      <c r="K37" s="709"/>
      <c r="L37" s="709"/>
      <c r="M37" s="709"/>
      <c r="N37" s="709"/>
    </row>
    <row r="38" spans="1:14" ht="16.5" customHeight="1" x14ac:dyDescent="0.2">
      <c r="A38" s="197" t="s">
        <v>804</v>
      </c>
      <c r="B38" s="231" t="s">
        <v>642</v>
      </c>
      <c r="C38" s="197" t="s">
        <v>4</v>
      </c>
      <c r="D38" s="848">
        <f>'13. ORÇ. EQU. E VEÍCULOS'!D30</f>
        <v>0</v>
      </c>
      <c r="E38" s="197" t="s">
        <v>630</v>
      </c>
      <c r="F38" s="712"/>
      <c r="G38" s="724"/>
      <c r="H38" s="725"/>
      <c r="I38" s="727"/>
      <c r="J38" s="709"/>
      <c r="K38" s="709"/>
      <c r="L38" s="709"/>
      <c r="M38" s="709"/>
      <c r="N38" s="709"/>
    </row>
    <row r="39" spans="1:14" ht="16.5" customHeight="1" x14ac:dyDescent="0.2">
      <c r="A39" s="197" t="s">
        <v>697</v>
      </c>
      <c r="B39" s="231" t="s">
        <v>528</v>
      </c>
      <c r="C39" s="197" t="s">
        <v>4</v>
      </c>
      <c r="D39" s="848">
        <f>'13. ORÇ. EQU. E VEÍCULOS'!D13</f>
        <v>1800.25</v>
      </c>
      <c r="E39" s="197" t="s">
        <v>167</v>
      </c>
      <c r="F39" s="712"/>
      <c r="G39" s="724"/>
      <c r="H39" s="725"/>
      <c r="I39" s="727"/>
      <c r="J39" s="709"/>
      <c r="K39" s="709"/>
      <c r="L39" s="709"/>
      <c r="M39" s="709"/>
      <c r="N39" s="709"/>
    </row>
    <row r="40" spans="1:14" s="706" customFormat="1" ht="16.5" customHeight="1" x14ac:dyDescent="0.2">
      <c r="A40" s="721" t="s">
        <v>94</v>
      </c>
      <c r="B40" s="722" t="s">
        <v>144</v>
      </c>
      <c r="C40" s="228"/>
      <c r="D40" s="853"/>
      <c r="E40" s="228"/>
      <c r="F40" s="712"/>
      <c r="G40" s="156"/>
    </row>
    <row r="41" spans="1:14" s="706" customFormat="1" ht="16.5" customHeight="1" x14ac:dyDescent="0.2">
      <c r="A41" s="197" t="s">
        <v>808</v>
      </c>
      <c r="B41" s="723" t="s">
        <v>644</v>
      </c>
      <c r="C41" s="197" t="s">
        <v>4</v>
      </c>
      <c r="D41" s="848">
        <f>D35</f>
        <v>234125</v>
      </c>
      <c r="E41" s="197" t="s">
        <v>630</v>
      </c>
      <c r="F41" s="712"/>
      <c r="G41" s="156"/>
    </row>
    <row r="42" spans="1:14" s="706" customFormat="1" ht="16.5" customHeight="1" x14ac:dyDescent="0.2">
      <c r="A42" s="197" t="s">
        <v>809</v>
      </c>
      <c r="B42" s="231" t="s">
        <v>643</v>
      </c>
      <c r="C42" s="197" t="s">
        <v>4</v>
      </c>
      <c r="D42" s="848">
        <f>D36</f>
        <v>81966.28</v>
      </c>
      <c r="E42" s="197" t="s">
        <v>167</v>
      </c>
      <c r="F42" s="712"/>
      <c r="G42" s="156"/>
    </row>
    <row r="43" spans="1:14" s="706" customFormat="1" ht="16.5" customHeight="1" x14ac:dyDescent="0.2">
      <c r="A43" s="209" t="s">
        <v>810</v>
      </c>
      <c r="B43" s="715" t="s">
        <v>642</v>
      </c>
      <c r="C43" s="209" t="s">
        <v>4</v>
      </c>
      <c r="D43" s="854">
        <f>D38</f>
        <v>0</v>
      </c>
      <c r="E43" s="209" t="s">
        <v>630</v>
      </c>
      <c r="F43" s="712"/>
      <c r="G43" s="156"/>
    </row>
    <row r="44" spans="1:14" ht="16.5" customHeight="1" x14ac:dyDescent="0.2">
      <c r="A44" s="721" t="s">
        <v>698</v>
      </c>
      <c r="B44" s="722" t="s">
        <v>795</v>
      </c>
      <c r="C44" s="228"/>
      <c r="D44" s="853"/>
      <c r="E44" s="228"/>
      <c r="F44" s="712"/>
    </row>
    <row r="45" spans="1:14" ht="16.5" customHeight="1" x14ac:dyDescent="0.2">
      <c r="A45" s="197" t="s">
        <v>699</v>
      </c>
      <c r="B45" s="723" t="s">
        <v>797</v>
      </c>
      <c r="C45" s="197" t="s">
        <v>4</v>
      </c>
      <c r="D45" s="848">
        <f>'13. ORÇ. EQU. E VEÍCULOS'!D24</f>
        <v>288976</v>
      </c>
      <c r="E45" s="197" t="s">
        <v>630</v>
      </c>
      <c r="F45" s="712"/>
    </row>
    <row r="46" spans="1:14" ht="16.5" customHeight="1" x14ac:dyDescent="0.2">
      <c r="A46" s="197" t="s">
        <v>700</v>
      </c>
      <c r="B46" s="723" t="s">
        <v>796</v>
      </c>
      <c r="C46" s="197" t="s">
        <v>4</v>
      </c>
      <c r="D46" s="848">
        <f>'13. ORÇ. EQU. E VEÍCULOS'!D25</f>
        <v>39241.384405999997</v>
      </c>
      <c r="E46" s="197" t="s">
        <v>167</v>
      </c>
      <c r="F46" s="712"/>
    </row>
    <row r="47" spans="1:14" ht="16.5" customHeight="1" x14ac:dyDescent="0.2">
      <c r="A47" s="197" t="s">
        <v>805</v>
      </c>
      <c r="B47" s="723" t="s">
        <v>880</v>
      </c>
      <c r="C47" s="197" t="s">
        <v>4</v>
      </c>
      <c r="D47" s="848">
        <f>'13. ORÇ. EQU. E VEÍCULOS'!D26</f>
        <v>10721.077999999998</v>
      </c>
      <c r="E47" s="197" t="s">
        <v>167</v>
      </c>
      <c r="F47" s="712"/>
    </row>
    <row r="48" spans="1:14" ht="16.5" customHeight="1" x14ac:dyDescent="0.2">
      <c r="A48" s="738">
        <v>5</v>
      </c>
      <c r="B48" s="743" t="s">
        <v>157</v>
      </c>
      <c r="C48" s="744"/>
      <c r="D48" s="849"/>
      <c r="E48" s="745"/>
      <c r="F48" s="712"/>
    </row>
    <row r="49" spans="1:9" ht="16.5" customHeight="1" x14ac:dyDescent="0.2">
      <c r="A49" s="197" t="s">
        <v>96</v>
      </c>
      <c r="B49" s="231" t="s">
        <v>123</v>
      </c>
      <c r="C49" s="197" t="s">
        <v>4</v>
      </c>
      <c r="D49" s="848">
        <f>D35*1%</f>
        <v>2341.25</v>
      </c>
      <c r="E49" s="230" t="s">
        <v>167</v>
      </c>
      <c r="F49" s="712"/>
      <c r="G49" s="729"/>
      <c r="H49" s="730"/>
    </row>
    <row r="50" spans="1:9" ht="16.5" customHeight="1" x14ac:dyDescent="0.2">
      <c r="A50" s="197" t="s">
        <v>125</v>
      </c>
      <c r="B50" s="231" t="s">
        <v>636</v>
      </c>
      <c r="C50" s="197" t="s">
        <v>4</v>
      </c>
      <c r="D50" s="848">
        <f>D45*1%</f>
        <v>2889.76</v>
      </c>
      <c r="E50" s="230" t="s">
        <v>167</v>
      </c>
      <c r="F50" s="712"/>
      <c r="G50" s="729"/>
      <c r="H50" s="730"/>
    </row>
    <row r="51" spans="1:9" ht="16.5" customHeight="1" x14ac:dyDescent="0.2">
      <c r="A51" s="209" t="s">
        <v>126</v>
      </c>
      <c r="B51" s="715" t="s">
        <v>85</v>
      </c>
      <c r="C51" s="209" t="s">
        <v>4</v>
      </c>
      <c r="D51" s="854">
        <f>D38*2%</f>
        <v>0</v>
      </c>
      <c r="E51" s="728" t="s">
        <v>167</v>
      </c>
      <c r="F51" s="712"/>
      <c r="G51" s="729"/>
      <c r="H51" s="730"/>
    </row>
    <row r="52" spans="1:9" ht="16.5" customHeight="1" x14ac:dyDescent="0.2">
      <c r="A52" s="197" t="s">
        <v>127</v>
      </c>
      <c r="B52" s="231" t="s">
        <v>608</v>
      </c>
      <c r="C52" s="197" t="s">
        <v>4</v>
      </c>
      <c r="D52" s="848">
        <v>150</v>
      </c>
      <c r="E52" s="230" t="s">
        <v>167</v>
      </c>
      <c r="F52" s="712"/>
      <c r="G52" s="731"/>
      <c r="H52" s="730"/>
    </row>
    <row r="53" spans="1:9" ht="16.5" customHeight="1" x14ac:dyDescent="0.2">
      <c r="A53" s="197" t="s">
        <v>128</v>
      </c>
      <c r="B53" s="231" t="s">
        <v>569</v>
      </c>
      <c r="C53" s="197" t="s">
        <v>4</v>
      </c>
      <c r="D53" s="848">
        <v>142.69</v>
      </c>
      <c r="E53" s="230" t="s">
        <v>167</v>
      </c>
      <c r="F53" s="712"/>
      <c r="G53" s="729"/>
      <c r="H53" s="730"/>
    </row>
    <row r="54" spans="1:9" ht="16.5" customHeight="1" x14ac:dyDescent="0.2">
      <c r="A54" s="738">
        <v>6</v>
      </c>
      <c r="B54" s="743" t="s">
        <v>701</v>
      </c>
      <c r="C54" s="744"/>
      <c r="D54" s="849"/>
      <c r="E54" s="745"/>
      <c r="F54" s="712"/>
      <c r="G54" s="729"/>
      <c r="H54" s="730"/>
    </row>
    <row r="55" spans="1:9" ht="16.5" customHeight="1" x14ac:dyDescent="0.2">
      <c r="A55" s="721" t="s">
        <v>100</v>
      </c>
      <c r="B55" s="722" t="s">
        <v>371</v>
      </c>
      <c r="C55" s="228"/>
      <c r="D55" s="853"/>
      <c r="E55" s="228"/>
      <c r="F55" s="712"/>
      <c r="G55" s="729"/>
      <c r="H55" s="730"/>
    </row>
    <row r="56" spans="1:9" ht="16.5" customHeight="1" x14ac:dyDescent="0.2">
      <c r="A56" s="197" t="s">
        <v>703</v>
      </c>
      <c r="B56" s="231" t="s">
        <v>86</v>
      </c>
      <c r="C56" s="197" t="s">
        <v>4</v>
      </c>
      <c r="D56" s="848">
        <v>2240</v>
      </c>
      <c r="E56" s="230" t="s">
        <v>167</v>
      </c>
      <c r="F56" s="712"/>
      <c r="G56" s="732"/>
      <c r="H56" s="730"/>
    </row>
    <row r="57" spans="1:9" ht="16.5" customHeight="1" x14ac:dyDescent="0.2">
      <c r="A57" s="197" t="s">
        <v>704</v>
      </c>
      <c r="B57" s="231" t="s">
        <v>62</v>
      </c>
      <c r="C57" s="197" t="s">
        <v>4</v>
      </c>
      <c r="D57" s="848">
        <v>240</v>
      </c>
      <c r="E57" s="230" t="s">
        <v>167</v>
      </c>
      <c r="F57" s="712"/>
      <c r="G57" s="732"/>
      <c r="H57" s="730"/>
    </row>
    <row r="58" spans="1:9" ht="16.5" customHeight="1" x14ac:dyDescent="0.2">
      <c r="A58" s="197" t="s">
        <v>705</v>
      </c>
      <c r="B58" s="231" t="s">
        <v>63</v>
      </c>
      <c r="C58" s="197" t="s">
        <v>4</v>
      </c>
      <c r="D58" s="848">
        <v>120</v>
      </c>
      <c r="E58" s="230" t="s">
        <v>167</v>
      </c>
      <c r="F58" s="712"/>
      <c r="G58" s="733"/>
      <c r="H58" s="730"/>
    </row>
    <row r="59" spans="1:9" ht="16.5" customHeight="1" x14ac:dyDescent="0.2">
      <c r="A59" s="197" t="s">
        <v>706</v>
      </c>
      <c r="B59" s="231" t="s">
        <v>64</v>
      </c>
      <c r="C59" s="197" t="s">
        <v>4</v>
      </c>
      <c r="D59" s="848">
        <v>625</v>
      </c>
      <c r="E59" s="230" t="s">
        <v>167</v>
      </c>
      <c r="F59" s="712"/>
      <c r="G59" s="732"/>
      <c r="H59" s="730"/>
      <c r="I59" s="734"/>
    </row>
    <row r="60" spans="1:9" ht="16.5" customHeight="1" x14ac:dyDescent="0.2">
      <c r="A60" s="197" t="s">
        <v>707</v>
      </c>
      <c r="B60" s="231" t="s">
        <v>65</v>
      </c>
      <c r="C60" s="197" t="s">
        <v>4</v>
      </c>
      <c r="D60" s="848">
        <v>250</v>
      </c>
      <c r="E60" s="230" t="s">
        <v>631</v>
      </c>
      <c r="F60" s="712"/>
      <c r="G60" s="732"/>
      <c r="H60" s="730"/>
    </row>
    <row r="61" spans="1:9" ht="16.5" customHeight="1" x14ac:dyDescent="0.2">
      <c r="A61" s="721" t="s">
        <v>806</v>
      </c>
      <c r="B61" s="722" t="s">
        <v>67</v>
      </c>
      <c r="C61" s="228"/>
      <c r="D61" s="853"/>
      <c r="E61" s="228"/>
      <c r="F61" s="712"/>
      <c r="G61" s="732"/>
      <c r="H61" s="730"/>
      <c r="I61" s="734"/>
    </row>
    <row r="62" spans="1:9" ht="16.5" customHeight="1" x14ac:dyDescent="0.2">
      <c r="A62" s="209" t="s">
        <v>807</v>
      </c>
      <c r="B62" s="715" t="s">
        <v>120</v>
      </c>
      <c r="C62" s="209" t="s">
        <v>4</v>
      </c>
      <c r="D62" s="854"/>
      <c r="E62" s="230" t="s">
        <v>167</v>
      </c>
      <c r="F62" s="712"/>
      <c r="G62" s="733"/>
      <c r="H62" s="730"/>
      <c r="I62" s="734"/>
    </row>
    <row r="63" spans="1:9" ht="16.5" customHeight="1" x14ac:dyDescent="0.2">
      <c r="A63" s="738">
        <v>7</v>
      </c>
      <c r="B63" s="743" t="s">
        <v>727</v>
      </c>
      <c r="C63" s="744"/>
      <c r="D63" s="849"/>
      <c r="E63" s="745"/>
      <c r="F63" s="712"/>
    </row>
    <row r="64" spans="1:9" ht="16.5" customHeight="1" x14ac:dyDescent="0.2">
      <c r="A64" s="197" t="s">
        <v>103</v>
      </c>
      <c r="B64" s="231" t="s">
        <v>657</v>
      </c>
      <c r="C64" s="197" t="s">
        <v>4</v>
      </c>
      <c r="D64" s="848">
        <v>330</v>
      </c>
      <c r="E64" s="735" t="s">
        <v>669</v>
      </c>
    </row>
    <row r="65" spans="1:6" ht="16.5" customHeight="1" x14ac:dyDescent="0.2">
      <c r="A65" s="197" t="s">
        <v>708</v>
      </c>
      <c r="B65" s="231" t="s">
        <v>658</v>
      </c>
      <c r="C65" s="197" t="s">
        <v>4</v>
      </c>
      <c r="D65" s="848">
        <f>D64*0.1</f>
        <v>33</v>
      </c>
      <c r="E65" s="230" t="s">
        <v>167</v>
      </c>
    </row>
    <row r="66" spans="1:6" ht="16.5" customHeight="1" x14ac:dyDescent="0.2">
      <c r="A66" s="197" t="s">
        <v>709</v>
      </c>
      <c r="B66" s="231" t="s">
        <v>682</v>
      </c>
      <c r="C66" s="197" t="s">
        <v>4</v>
      </c>
      <c r="D66" s="848">
        <v>70</v>
      </c>
      <c r="E66" s="230" t="s">
        <v>167</v>
      </c>
    </row>
    <row r="67" spans="1:6" ht="16.5" customHeight="1" x14ac:dyDescent="0.2">
      <c r="A67" s="197" t="s">
        <v>710</v>
      </c>
      <c r="B67" s="231" t="s">
        <v>728</v>
      </c>
      <c r="C67" s="197" t="s">
        <v>4</v>
      </c>
      <c r="D67" s="848">
        <v>10</v>
      </c>
      <c r="E67" s="197" t="s">
        <v>730</v>
      </c>
    </row>
    <row r="68" spans="1:6" ht="16.5" customHeight="1" x14ac:dyDescent="0.2">
      <c r="A68" s="738">
        <v>8</v>
      </c>
      <c r="B68" s="743" t="s">
        <v>732</v>
      </c>
      <c r="C68" s="744"/>
      <c r="D68" s="849"/>
      <c r="E68" s="745"/>
    </row>
    <row r="69" spans="1:6" ht="16.5" customHeight="1" x14ac:dyDescent="0.2">
      <c r="A69" s="197" t="s">
        <v>104</v>
      </c>
      <c r="B69" s="231" t="s">
        <v>734</v>
      </c>
      <c r="C69" s="197" t="s">
        <v>4</v>
      </c>
      <c r="D69" s="848">
        <v>10</v>
      </c>
      <c r="E69" s="197" t="s">
        <v>733</v>
      </c>
      <c r="F69" s="707"/>
    </row>
    <row r="70" spans="1:6" ht="16.5" customHeight="1" x14ac:dyDescent="0.2">
      <c r="A70" s="197" t="s">
        <v>544</v>
      </c>
      <c r="B70" s="715" t="s">
        <v>680</v>
      </c>
      <c r="C70" s="197" t="s">
        <v>4</v>
      </c>
      <c r="D70" s="848">
        <f>100/12</f>
        <v>8.3333333333333339</v>
      </c>
      <c r="E70" s="197" t="s">
        <v>167</v>
      </c>
      <c r="F70" s="707"/>
    </row>
    <row r="71" spans="1:6" ht="28.5" x14ac:dyDescent="0.2">
      <c r="A71" s="197" t="s">
        <v>546</v>
      </c>
      <c r="B71" s="620" t="s">
        <v>735</v>
      </c>
      <c r="C71" s="197" t="s">
        <v>4</v>
      </c>
      <c r="D71" s="848">
        <v>69.900000000000006</v>
      </c>
      <c r="E71" s="197" t="s">
        <v>167</v>
      </c>
      <c r="F71" s="707"/>
    </row>
    <row r="72" spans="1:6" ht="15" x14ac:dyDescent="0.2">
      <c r="A72" s="738">
        <v>9</v>
      </c>
      <c r="B72" s="743" t="s">
        <v>766</v>
      </c>
      <c r="C72" s="744"/>
      <c r="D72" s="849"/>
      <c r="E72" s="745"/>
      <c r="F72" s="707"/>
    </row>
    <row r="73" spans="1:6" ht="14.25" x14ac:dyDescent="0.2">
      <c r="A73" s="197" t="s">
        <v>273</v>
      </c>
      <c r="B73" s="231" t="s">
        <v>767</v>
      </c>
      <c r="C73" s="197" t="s">
        <v>4</v>
      </c>
      <c r="D73" s="848">
        <v>190</v>
      </c>
      <c r="E73" s="197" t="s">
        <v>167</v>
      </c>
    </row>
    <row r="77" spans="1:6" hidden="1" x14ac:dyDescent="0.2">
      <c r="B77" s="736"/>
    </row>
    <row r="78" spans="1:6" hidden="1" x14ac:dyDescent="0.2">
      <c r="B78" s="737"/>
    </row>
  </sheetData>
  <sheetProtection algorithmName="SHA-512" hashValue="X9JbSCOkLE0nkfVu1zPMjZGZrdf7fN9jn5yh95PqfnDvhQ5LVCmOd1gqJOeEsiqh679VSY5Yfjl0Q7wMU326QA==" saltValue="8IhmKGF+EIQF+7YXboFQiA==" spinCount="100000" sheet="1" objects="1" scenarios="1"/>
  <mergeCells count="1">
    <mergeCell ref="A7:E7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89" firstPageNumber="0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7:J21"/>
  <sheetViews>
    <sheetView showGridLines="0" view="pageBreakPreview" zoomScale="85" zoomScaleNormal="100" zoomScaleSheetLayoutView="85" workbookViewId="0">
      <selection activeCell="I9" sqref="I9:I19"/>
    </sheetView>
  </sheetViews>
  <sheetFormatPr defaultColWidth="14.7109375" defaultRowHeight="12.75" x14ac:dyDescent="0.2"/>
  <cols>
    <col min="1" max="1" width="0.42578125" style="80" customWidth="1"/>
    <col min="2" max="2" width="6.42578125" style="80" customWidth="1"/>
    <col min="3" max="3" width="53.85546875" style="80" customWidth="1"/>
    <col min="4" max="4" width="29.85546875" style="84" customWidth="1"/>
    <col min="5" max="5" width="6" style="80" customWidth="1"/>
    <col min="6" max="6" width="14.42578125" style="80" bestFit="1" customWidth="1"/>
    <col min="7" max="7" width="38.42578125" style="80" bestFit="1" customWidth="1"/>
    <col min="8" max="16384" width="14.7109375" style="80"/>
  </cols>
  <sheetData>
    <row r="7" spans="2:10" ht="28.9" customHeight="1" x14ac:dyDescent="0.25">
      <c r="C7" s="813" t="s">
        <v>623</v>
      </c>
      <c r="D7" s="814"/>
      <c r="E7" s="232"/>
      <c r="F7" s="813" t="s">
        <v>838</v>
      </c>
      <c r="G7" s="814"/>
      <c r="H7" s="814"/>
      <c r="I7" s="814"/>
      <c r="J7" s="814"/>
    </row>
    <row r="8" spans="2:10" ht="60" x14ac:dyDescent="0.2">
      <c r="B8" s="93"/>
      <c r="C8" s="233" t="s">
        <v>624</v>
      </c>
      <c r="D8" s="234" t="s">
        <v>844</v>
      </c>
      <c r="E8" s="235" t="s">
        <v>748</v>
      </c>
      <c r="F8" s="236" t="s">
        <v>7</v>
      </c>
      <c r="G8" s="237" t="s">
        <v>8</v>
      </c>
      <c r="H8" s="238" t="s">
        <v>9</v>
      </c>
      <c r="I8" s="238" t="s">
        <v>69</v>
      </c>
      <c r="J8" s="236" t="s">
        <v>12</v>
      </c>
    </row>
    <row r="9" spans="2:10" x14ac:dyDescent="0.2">
      <c r="B9" s="85"/>
      <c r="C9" s="239" t="s">
        <v>852</v>
      </c>
      <c r="D9" s="240">
        <v>1100</v>
      </c>
      <c r="E9" s="241"/>
      <c r="F9" s="242" t="s">
        <v>273</v>
      </c>
      <c r="G9" s="243" t="s">
        <v>543</v>
      </c>
      <c r="H9" s="87" t="s">
        <v>1</v>
      </c>
      <c r="I9" s="855">
        <v>4.93</v>
      </c>
      <c r="J9" s="244"/>
    </row>
    <row r="10" spans="2:10" x14ac:dyDescent="0.2">
      <c r="B10" s="85"/>
      <c r="C10" s="245" t="s">
        <v>609</v>
      </c>
      <c r="D10" s="246">
        <v>350</v>
      </c>
      <c r="E10" s="241"/>
      <c r="F10" s="242" t="s">
        <v>712</v>
      </c>
      <c r="G10" s="247" t="s">
        <v>545</v>
      </c>
      <c r="H10" s="87" t="s">
        <v>1</v>
      </c>
      <c r="I10" s="856">
        <v>0.99</v>
      </c>
      <c r="J10" s="244"/>
    </row>
    <row r="11" spans="2:10" x14ac:dyDescent="0.2">
      <c r="B11" s="85"/>
      <c r="C11" s="245" t="s">
        <v>611</v>
      </c>
      <c r="D11" s="246">
        <v>100</v>
      </c>
      <c r="E11" s="241"/>
      <c r="F11" s="242" t="s">
        <v>713</v>
      </c>
      <c r="G11" s="247" t="s">
        <v>547</v>
      </c>
      <c r="H11" s="87" t="s">
        <v>1</v>
      </c>
      <c r="I11" s="856">
        <f>SUM(I12:I13)</f>
        <v>1.88</v>
      </c>
      <c r="J11" s="244"/>
    </row>
    <row r="12" spans="2:10" ht="13.9" customHeight="1" x14ac:dyDescent="0.2">
      <c r="B12" s="85"/>
      <c r="C12" s="245" t="s">
        <v>671</v>
      </c>
      <c r="D12" s="246">
        <f>4500+(4500*'2. DADOS DE ENTRADA'!C162)+1521+(1521*'2. DADOS DE ENTRADA'!C162)+1800+(1800*'2. DADOS DE ENTRADA'!C162)</f>
        <v>13381.812338399999</v>
      </c>
      <c r="E12" s="241"/>
      <c r="F12" s="242" t="s">
        <v>714</v>
      </c>
      <c r="G12" s="247" t="s">
        <v>568</v>
      </c>
      <c r="H12" s="87" t="s">
        <v>1</v>
      </c>
      <c r="I12" s="856">
        <v>0.49</v>
      </c>
      <c r="J12" s="244"/>
    </row>
    <row r="13" spans="2:10" ht="13.15" customHeight="1" x14ac:dyDescent="0.2">
      <c r="B13" s="85"/>
      <c r="C13" s="245" t="s">
        <v>840</v>
      </c>
      <c r="D13" s="246">
        <v>400</v>
      </c>
      <c r="E13" s="241"/>
      <c r="F13" s="242" t="s">
        <v>715</v>
      </c>
      <c r="G13" s="247" t="s">
        <v>551</v>
      </c>
      <c r="H13" s="87" t="s">
        <v>1</v>
      </c>
      <c r="I13" s="856">
        <v>1.39</v>
      </c>
      <c r="J13" s="244"/>
    </row>
    <row r="14" spans="2:10" x14ac:dyDescent="0.2">
      <c r="B14" s="85"/>
      <c r="C14" s="245" t="s">
        <v>615</v>
      </c>
      <c r="D14" s="246"/>
      <c r="E14" s="241"/>
      <c r="F14" s="242" t="s">
        <v>716</v>
      </c>
      <c r="G14" s="247" t="s">
        <v>553</v>
      </c>
      <c r="H14" s="87" t="s">
        <v>1</v>
      </c>
      <c r="I14" s="856">
        <f>SUM(I15:I17)</f>
        <v>6.65</v>
      </c>
      <c r="J14" s="244"/>
    </row>
    <row r="15" spans="2:10" x14ac:dyDescent="0.2">
      <c r="B15" s="85"/>
      <c r="C15" s="248" t="s">
        <v>616</v>
      </c>
      <c r="D15" s="249">
        <v>300</v>
      </c>
      <c r="E15" s="241"/>
      <c r="F15" s="242" t="s">
        <v>717</v>
      </c>
      <c r="G15" s="247" t="s">
        <v>555</v>
      </c>
      <c r="H15" s="87" t="s">
        <v>1</v>
      </c>
      <c r="I15" s="856">
        <v>3</v>
      </c>
      <c r="J15" s="244"/>
    </row>
    <row r="16" spans="2:10" ht="16.5" x14ac:dyDescent="0.2">
      <c r="B16" s="93"/>
      <c r="C16" s="250" t="s">
        <v>571</v>
      </c>
      <c r="D16" s="251">
        <f>SUM(D9:D15)</f>
        <v>15631.812338399999</v>
      </c>
      <c r="E16" s="252">
        <f>SUM(E9:E15)</f>
        <v>0</v>
      </c>
      <c r="F16" s="242" t="s">
        <v>718</v>
      </c>
      <c r="G16" s="247" t="s">
        <v>557</v>
      </c>
      <c r="H16" s="87" t="s">
        <v>1</v>
      </c>
      <c r="I16" s="856">
        <v>0.65</v>
      </c>
      <c r="J16" s="244"/>
    </row>
    <row r="17" spans="2:10" x14ac:dyDescent="0.2">
      <c r="B17" s="81"/>
      <c r="C17" s="253"/>
      <c r="D17" s="254"/>
      <c r="E17" s="253"/>
      <c r="F17" s="242" t="s">
        <v>719</v>
      </c>
      <c r="G17" s="247" t="s">
        <v>559</v>
      </c>
      <c r="H17" s="87" t="s">
        <v>1</v>
      </c>
      <c r="I17" s="856">
        <v>3</v>
      </c>
      <c r="J17" s="244"/>
    </row>
    <row r="18" spans="2:10" ht="28.5" x14ac:dyDescent="0.2">
      <c r="B18" s="81"/>
      <c r="C18" s="255" t="s">
        <v>839</v>
      </c>
      <c r="D18" s="256">
        <f>D16+J20</f>
        <v>19515.059203373345</v>
      </c>
      <c r="E18" s="253"/>
      <c r="F18" s="242" t="s">
        <v>720</v>
      </c>
      <c r="G18" s="247" t="s">
        <v>561</v>
      </c>
      <c r="H18" s="87" t="s">
        <v>1</v>
      </c>
      <c r="I18" s="856">
        <v>8.0399999999999991</v>
      </c>
      <c r="J18" s="244"/>
    </row>
    <row r="19" spans="2:10" ht="15" customHeight="1" x14ac:dyDescent="0.2">
      <c r="B19" s="81"/>
      <c r="C19" s="122"/>
      <c r="D19" s="257"/>
      <c r="E19" s="253"/>
      <c r="F19" s="242" t="s">
        <v>721</v>
      </c>
      <c r="G19" s="247" t="s">
        <v>562</v>
      </c>
      <c r="H19" s="87" t="s">
        <v>1</v>
      </c>
      <c r="I19" s="856">
        <f>(((1+(I9+I11)/100)*(1+I10/100)*(1+I18/100)/(1-I14/100))-1)*100</f>
        <v>24.841949102945904</v>
      </c>
      <c r="J19" s="244"/>
    </row>
    <row r="20" spans="2:10" ht="15.75" customHeight="1" thickBot="1" x14ac:dyDescent="0.25">
      <c r="B20" s="81"/>
      <c r="C20" s="253"/>
      <c r="D20" s="258"/>
      <c r="E20" s="253"/>
      <c r="F20" s="259"/>
      <c r="G20" s="260" t="s">
        <v>563</v>
      </c>
      <c r="H20" s="261"/>
      <c r="I20" s="262"/>
      <c r="J20" s="263">
        <f>D16*(I19/100)</f>
        <v>3883.2468649733455</v>
      </c>
    </row>
    <row r="21" spans="2:10" x14ac:dyDescent="0.2">
      <c r="B21" s="81"/>
      <c r="D21" s="97"/>
    </row>
  </sheetData>
  <sheetProtection algorithmName="SHA-512" hashValue="MrW3U7lQzT9sy+5j0JmL4Ex/tHD/r7hH/y5tGeCof1t/e4BVJnnTjR2vCsLlYP0Q4n+V/i2wIPo/iMQAQ2zaaw==" saltValue="Fi5p7Z4aAg+4RWhbw5T4iA==" spinCount="100000" sheet="1" objects="1" scenarios="1"/>
  <mergeCells count="2">
    <mergeCell ref="C7:D7"/>
    <mergeCell ref="F7:J7"/>
  </mergeCells>
  <printOptions horizontalCentered="1"/>
  <pageMargins left="0.23622047244094491" right="0.23622047244094491" top="0.35433070866141736" bottom="0.35433070866141736" header="0.31496062992125984" footer="0.31496062992125984"/>
  <pageSetup paperSize="9" scale="75" firstPageNumber="0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A 1 c m W a i 9 l 0 a k A A A A 9 Q A A A B I A H A B D b 2 5 m a W c v U G F j a 2 F n Z S 5 4 b W w g o h g A K K A U A A A A A A A A A A A A A A A A A A A A A A A A A A A A h Y 9 B D o I w F E S v Q r q n L d U Y J J + S 6 F Y S o 4 l x 2 0 C F R i i E F s v d X H g k r y B G U X c u 5 8 1 b z N y v N 0 i G u v I u s j O q 0 T E K M E W e 1 F m T K 1 3 E q L c n P 0 Q J h 6 3 I z q K Q 3 i h r E w 0 m j 1 F p b R s R 4 p z D b o a b r i C M 0 o A c 0 8 0 + K 2 U t 0 E d W / 2 V f a W O F z i T i c H i N 4 Q w v F z i c M 0 y B T A x S p b 8 9 G + c + 2 x 8 I 6 7 6 y f S d 5 a / 3 V D s g U g b w v 8 A d Q S w M E F A A C A A g A A 1 c m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X J l k o i k e 4 D g A A A B E A A A A T A B w A R m 9 y b X V s Y X M v U 2 V j d G l v b j E u b S C i G A A o o B Q A A A A A A A A A A A A A A A A A A A A A A A A A A A A r T k 0 u y c z P U w i G 0 I b W A F B L A Q I t A B Q A A g A I A A N X J l m o v Z d G p A A A A P U A A A A S A A A A A A A A A A A A A A A A A A A A A A B D b 2 5 m a W c v U G F j a 2 F n Z S 5 4 b W x Q S w E C L Q A U A A I A C A A D V y Z Z D 8 r p q 6 Q A A A D p A A A A E w A A A A A A A A A A A A A A A A D w A A A A W 0 N v b n R l b n R f V H l w Z X N d L n h t b F B L A Q I t A B Q A A g A I A A N X J l k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X 5 q + t C t 2 x R Z c g U s A S 9 8 2 8 A A A A A A I A A A A A A B B m A A A A A Q A A I A A A A N A h g y r e 4 N q L Y 8 A K S Q w 0 V 1 m J j 7 z Q P Z / q e + L 5 r p 9 / U u D B A A A A A A 6 A A A A A A g A A I A A A A O h U N 3 O S N z 9 + 8 n r Q j 7 5 0 0 O / K / m 6 7 4 G z 4 Z l r G 3 y 4 I s p G Q U A A A A G 0 W m C t j z 0 A 3 n k S L v g h c + O V S 7 P 0 A E c J L 0 u R W Y D M D z N Q Q t f P z p H x 2 V z 4 t D P Y F P 4 Y g 7 v 3 c R N m A Y I H S d F + a n y W t K 8 o K l V H + C c z O w I R M c S 9 M m Z z C Q A A A A H J x 3 A 2 a n v V x I y s u i d S j i V I m G B I C 4 G f R b C 1 A p 4 0 X h B d 0 Y X J V 7 q e 4 r a B H z k C M 1 A J c W u X i b G D U D e F X Y p q / O Q 6 + t U w = < / D a t a M a s h u p > 
</file>

<file path=customXml/itemProps1.xml><?xml version="1.0" encoding="utf-8"?>
<ds:datastoreItem xmlns:ds="http://schemas.openxmlformats.org/officeDocument/2006/customXml" ds:itemID="{D75F16F1-C4F9-4099-A0A8-70C9E44E8E2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12</vt:i4>
      </vt:variant>
    </vt:vector>
  </HeadingPairs>
  <TitlesOfParts>
    <vt:vector size="31" baseType="lpstr">
      <vt:lpstr>Dados de entrada Veíc. e Equip.</vt:lpstr>
      <vt:lpstr>DIMENSIONAMENTO DA FROTA</vt:lpstr>
      <vt:lpstr>DIMENSIONAMENTO DA FROTA COMPLE</vt:lpstr>
      <vt:lpstr>CAPA</vt:lpstr>
      <vt:lpstr>1. RESUMO</vt:lpstr>
      <vt:lpstr>1.1 CRONOGRANA FINANCEIRO</vt:lpstr>
      <vt:lpstr>2. DADOS DE ENTRADA</vt:lpstr>
      <vt:lpstr>3. PREÇOS UNITÁRIOS</vt:lpstr>
      <vt:lpstr>4. ADM</vt:lpstr>
      <vt:lpstr>5. COLETA URBANA SEDE.DISTRITOS</vt:lpstr>
      <vt:lpstr>5.1 COLETA URBANA MECANIZADA</vt:lpstr>
      <vt:lpstr>6. COLETA SELETIVA</vt:lpstr>
      <vt:lpstr>7. TRANSBORDO</vt:lpstr>
      <vt:lpstr>8. TRANS. DISP. FINAL CC</vt:lpstr>
      <vt:lpstr>9. TRANS. DEST. FINAL CS</vt:lpstr>
      <vt:lpstr>10.TRANS. DEST. FINAL VOL. </vt:lpstr>
      <vt:lpstr>11. ORÇ. EPI</vt:lpstr>
      <vt:lpstr>12. ORÇ. PNEUS</vt:lpstr>
      <vt:lpstr>13. ORÇ. EQU. E VEÍCULOS</vt:lpstr>
      <vt:lpstr>'1. RESUMO'!Area_de_impressao</vt:lpstr>
      <vt:lpstr>'10.TRANS. DEST. FINAL VOL. '!Area_de_impressao</vt:lpstr>
      <vt:lpstr>'13. ORÇ. EQU. E VEÍCULOS'!Area_de_impressao</vt:lpstr>
      <vt:lpstr>'2. DADOS DE ENTRADA'!Area_de_impressao</vt:lpstr>
      <vt:lpstr>'4. ADM'!Area_de_impressao</vt:lpstr>
      <vt:lpstr>'5. COLETA URBANA SEDE.DISTRITOS'!Area_de_impressao</vt:lpstr>
      <vt:lpstr>'5.1 COLETA URBANA MECANIZADA'!Area_de_impressao</vt:lpstr>
      <vt:lpstr>'6. COLETA SELETIVA'!Area_de_impressao</vt:lpstr>
      <vt:lpstr>'7. TRANSBORDO'!Area_de_impressao</vt:lpstr>
      <vt:lpstr>'8. TRANS. DISP. FINAL CC'!Area_de_impressao</vt:lpstr>
      <vt:lpstr>'9. TRANS. DEST. FINAL CS'!Area_de_impressao</vt:lpstr>
      <vt:lpstr>CAPA!Area_de_impressao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>1</cp:revision>
  <dcterms:created xsi:type="dcterms:W3CDTF">2014-05-02T14:15:13Z</dcterms:created>
  <dcterms:modified xsi:type="dcterms:W3CDTF">2024-11-01T19:26:23Z</dcterms:modified>
</cp:coreProperties>
</file>